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2690" windowHeight="6960"/>
  </bookViews>
  <sheets>
    <sheet name="0731" sheetId="209" r:id="rId1"/>
    <sheet name="0731 4度C" sheetId="210" r:id="rId2"/>
    <sheet name="0730" sheetId="207" r:id="rId3"/>
    <sheet name="0730 4度C" sheetId="208" r:id="rId4"/>
    <sheet name="0729" sheetId="205" r:id="rId5"/>
    <sheet name="0729 4度C" sheetId="206" r:id="rId6"/>
    <sheet name="0728" sheetId="201" r:id="rId7"/>
    <sheet name="0728 4度C" sheetId="202" r:id="rId8"/>
    <sheet name="0727" sheetId="199" r:id="rId9"/>
    <sheet name="0727 4度C" sheetId="200" r:id="rId10"/>
    <sheet name="0726" sheetId="197" r:id="rId11"/>
    <sheet name="0726 4度C" sheetId="198" r:id="rId12"/>
    <sheet name="0725" sheetId="195" r:id="rId13"/>
    <sheet name="0725 4度C" sheetId="196" r:id="rId14"/>
    <sheet name="0724" sheetId="193" r:id="rId15"/>
    <sheet name="0724 4度C" sheetId="194" r:id="rId16"/>
    <sheet name="0723" sheetId="191" r:id="rId17"/>
    <sheet name="0723 4度C" sheetId="192" r:id="rId18"/>
    <sheet name="0722" sheetId="189" r:id="rId19"/>
    <sheet name="0722 4度C" sheetId="190" r:id="rId20"/>
    <sheet name="0721" sheetId="187" r:id="rId21"/>
    <sheet name="0721 4度C" sheetId="188" r:id="rId22"/>
    <sheet name="0720" sheetId="185" r:id="rId23"/>
    <sheet name="0720 4度C" sheetId="186" r:id="rId24"/>
    <sheet name="0719" sheetId="183" r:id="rId25"/>
    <sheet name="0719 4度C" sheetId="184" r:id="rId26"/>
    <sheet name="0718" sheetId="181" r:id="rId27"/>
    <sheet name="0718 4度C" sheetId="182" r:id="rId28"/>
    <sheet name="0717" sheetId="179" r:id="rId29"/>
    <sheet name="0717 4度C" sheetId="180" r:id="rId30"/>
    <sheet name="0716" sheetId="177" r:id="rId31"/>
    <sheet name="0716 4度C" sheetId="178" r:id="rId32"/>
    <sheet name="0715" sheetId="175" r:id="rId33"/>
    <sheet name="0715 4度C" sheetId="176" r:id="rId34"/>
    <sheet name="0714" sheetId="173" r:id="rId35"/>
    <sheet name="0714 4度C" sheetId="174" r:id="rId36"/>
    <sheet name="0713" sheetId="171" r:id="rId37"/>
    <sheet name="0713 4度C" sheetId="172" r:id="rId38"/>
    <sheet name="0712" sheetId="169" r:id="rId39"/>
    <sheet name="0712 4度C" sheetId="170" r:id="rId40"/>
    <sheet name="0711" sheetId="167" r:id="rId41"/>
    <sheet name="0711 4度C" sheetId="168" r:id="rId42"/>
    <sheet name="0710" sheetId="165" r:id="rId43"/>
    <sheet name="0710 4度C" sheetId="166" r:id="rId44"/>
    <sheet name="0709" sheetId="163" r:id="rId45"/>
    <sheet name="0709 4度C" sheetId="164" r:id="rId46"/>
    <sheet name="0708" sheetId="161" r:id="rId47"/>
    <sheet name="0708 4度C" sheetId="162" r:id="rId48"/>
    <sheet name="0707" sheetId="159" r:id="rId49"/>
    <sheet name="0707 4度C" sheetId="160" r:id="rId50"/>
    <sheet name="0706" sheetId="157" r:id="rId51"/>
    <sheet name="0706 4度C" sheetId="158" r:id="rId52"/>
    <sheet name="0705" sheetId="155" r:id="rId53"/>
    <sheet name="0705 4度C" sheetId="156" r:id="rId54"/>
    <sheet name="0704" sheetId="151" r:id="rId55"/>
    <sheet name="0704 4度C" sheetId="152" r:id="rId56"/>
    <sheet name="0703" sheetId="149" r:id="rId57"/>
    <sheet name="0703 4度C" sheetId="150" r:id="rId58"/>
    <sheet name="0702" sheetId="147" r:id="rId59"/>
    <sheet name="0702 4度C" sheetId="148" r:id="rId60"/>
    <sheet name="0701" sheetId="145" r:id="rId61"/>
    <sheet name="0701 4度C" sheetId="146" r:id="rId62"/>
  </sheets>
  <definedNames>
    <definedName name="_xlnm._FilterDatabase" localSheetId="61" hidden="1">'0701 4度C'!$A$4:$AI$4</definedName>
    <definedName name="_xlnm._FilterDatabase" localSheetId="59" hidden="1">'0702 4度C'!$A$4:$AI$4</definedName>
    <definedName name="_xlnm._FilterDatabase" localSheetId="57" hidden="1">'0703 4度C'!$A$4:$AI$4</definedName>
    <definedName name="_xlnm._FilterDatabase" localSheetId="55" hidden="1">'0704 4度C'!$A$4:$AI$4</definedName>
    <definedName name="_xlnm._FilterDatabase" localSheetId="53" hidden="1">'0705 4度C'!$A$4:$AI$4</definedName>
    <definedName name="_xlnm._FilterDatabase" localSheetId="51" hidden="1">'0706 4度C'!$A$4:$AI$4</definedName>
    <definedName name="_xlnm._FilterDatabase" localSheetId="49" hidden="1">'0707 4度C'!$A$4:$AI$4</definedName>
    <definedName name="_xlnm._FilterDatabase" localSheetId="47" hidden="1">'0708 4度C'!$A$4:$AI$4</definedName>
    <definedName name="_xlnm._FilterDatabase" localSheetId="45" hidden="1">'0709 4度C'!$A$4:$AI$4</definedName>
    <definedName name="_xlnm._FilterDatabase" localSheetId="43" hidden="1">'0710 4度C'!$A$4:$AI$4</definedName>
    <definedName name="_xlnm._FilterDatabase" localSheetId="41" hidden="1">'0711 4度C'!$A$4:$AI$4</definedName>
    <definedName name="_xlnm._FilterDatabase" localSheetId="39" hidden="1">'0712 4度C'!$A$4:$AI$4</definedName>
    <definedName name="_xlnm._FilterDatabase" localSheetId="37" hidden="1">'0713 4度C'!$A$4:$AI$4</definedName>
    <definedName name="_xlnm._FilterDatabase" localSheetId="35" hidden="1">'0714 4度C'!$A$4:$AI$4</definedName>
    <definedName name="_xlnm._FilterDatabase" localSheetId="33" hidden="1">'0715 4度C'!$A$4:$AI$4</definedName>
    <definedName name="_xlnm._FilterDatabase" localSheetId="31" hidden="1">'0716 4度C'!$A$4:$AI$4</definedName>
    <definedName name="_xlnm._FilterDatabase" localSheetId="29" hidden="1">'0717 4度C'!$A$4:$AI$4</definedName>
    <definedName name="_xlnm._FilterDatabase" localSheetId="27" hidden="1">'0718 4度C'!$A$4:$AI$4</definedName>
    <definedName name="_xlnm._FilterDatabase" localSheetId="25" hidden="1">'0719 4度C'!$A$4:$AI$4</definedName>
    <definedName name="_xlnm._FilterDatabase" localSheetId="23" hidden="1">'0720 4度C'!$A$4:$AI$4</definedName>
    <definedName name="_xlnm._FilterDatabase" localSheetId="21" hidden="1">'0721 4度C'!$A$4:$AI$4</definedName>
    <definedName name="_xlnm._FilterDatabase" localSheetId="19" hidden="1">'0722 4度C'!$A$4:$AI$4</definedName>
    <definedName name="_xlnm._FilterDatabase" localSheetId="17" hidden="1">'0723 4度C'!$A$4:$AI$4</definedName>
    <definedName name="_xlnm._FilterDatabase" localSheetId="15" hidden="1">'0724 4度C'!$A$4:$AI$4</definedName>
    <definedName name="_xlnm._FilterDatabase" localSheetId="13" hidden="1">'0725 4度C'!$A$4:$AI$4</definedName>
    <definedName name="_xlnm._FilterDatabase" localSheetId="11" hidden="1">'0726 4度C'!$A$4:$AI$4</definedName>
    <definedName name="_xlnm._FilterDatabase" localSheetId="9" hidden="1">'0727 4度C'!$A$4:$AI$4</definedName>
    <definedName name="_xlnm._FilterDatabase" localSheetId="7" hidden="1">'0728 4度C'!$A$4:$AI$4</definedName>
    <definedName name="_xlnm._FilterDatabase" localSheetId="5" hidden="1">'0729 4度C'!$A$4:$AI$4</definedName>
    <definedName name="_xlnm._FilterDatabase" localSheetId="3" hidden="1">'0730 4度C'!$A$4:$AI$4</definedName>
    <definedName name="_xlnm._FilterDatabase" localSheetId="1" hidden="1">'0731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9" i="210" l="1"/>
  <c r="Z69" i="210"/>
  <c r="M19" i="209" s="1"/>
  <c r="Y69" i="210"/>
  <c r="M18" i="209" s="1"/>
  <c r="O69" i="210"/>
  <c r="K69" i="210"/>
  <c r="AF68" i="210"/>
  <c r="V68" i="210"/>
  <c r="U68" i="210"/>
  <c r="O68" i="210"/>
  <c r="M68" i="210"/>
  <c r="AE68" i="210" s="1"/>
  <c r="K68" i="210"/>
  <c r="G68" i="210"/>
  <c r="AE67" i="210"/>
  <c r="X67" i="210"/>
  <c r="W67" i="210"/>
  <c r="V67" i="210"/>
  <c r="U67" i="210"/>
  <c r="O67" i="210"/>
  <c r="M67" i="210"/>
  <c r="N67" i="210" s="1"/>
  <c r="K67" i="210"/>
  <c r="G67" i="210"/>
  <c r="AF66" i="210"/>
  <c r="V66" i="210"/>
  <c r="U66" i="210"/>
  <c r="O66" i="210"/>
  <c r="M66" i="210"/>
  <c r="AE66" i="210" s="1"/>
  <c r="K66" i="210"/>
  <c r="G66" i="210"/>
  <c r="AE65" i="210"/>
  <c r="V65" i="210"/>
  <c r="U65" i="210"/>
  <c r="O65" i="210"/>
  <c r="M65" i="210"/>
  <c r="N65" i="210" s="1"/>
  <c r="K65" i="210"/>
  <c r="G65" i="210"/>
  <c r="V64" i="210"/>
  <c r="M64" i="210" s="1"/>
  <c r="U64" i="210"/>
  <c r="O64" i="210"/>
  <c r="K64" i="210"/>
  <c r="G64" i="210"/>
  <c r="AF63" i="210"/>
  <c r="AE63" i="210"/>
  <c r="V63" i="210"/>
  <c r="U63" i="210"/>
  <c r="O63" i="210"/>
  <c r="M63" i="210"/>
  <c r="N63" i="210" s="1"/>
  <c r="K63" i="210"/>
  <c r="G63" i="210"/>
  <c r="AF62" i="210"/>
  <c r="AE62" i="210"/>
  <c r="X62" i="210"/>
  <c r="W62" i="210"/>
  <c r="V62" i="210"/>
  <c r="O62" i="210"/>
  <c r="M62" i="210"/>
  <c r="N62" i="210" s="1"/>
  <c r="K62" i="210"/>
  <c r="G62" i="210"/>
  <c r="AD61" i="210"/>
  <c r="J21" i="209" s="1"/>
  <c r="Z61" i="210"/>
  <c r="Y61" i="210"/>
  <c r="O61" i="210"/>
  <c r="K61" i="210"/>
  <c r="AF60" i="210"/>
  <c r="AE60" i="210"/>
  <c r="V60" i="210"/>
  <c r="U60" i="210"/>
  <c r="O60" i="210"/>
  <c r="M60" i="210"/>
  <c r="N60" i="210" s="1"/>
  <c r="K60" i="210"/>
  <c r="G60" i="210"/>
  <c r="V59" i="210"/>
  <c r="M59" i="210" s="1"/>
  <c r="U59" i="210"/>
  <c r="O59" i="210"/>
  <c r="K59" i="210"/>
  <c r="G59" i="210"/>
  <c r="V58" i="210"/>
  <c r="M58" i="210" s="1"/>
  <c r="U58" i="210"/>
  <c r="O58" i="210"/>
  <c r="K58" i="210"/>
  <c r="G58" i="210"/>
  <c r="V57" i="210"/>
  <c r="M57" i="210" s="1"/>
  <c r="O57" i="210"/>
  <c r="K57" i="210"/>
  <c r="G57" i="210"/>
  <c r="AD56" i="210"/>
  <c r="Z56" i="210"/>
  <c r="I19" i="209" s="1"/>
  <c r="Y56" i="210"/>
  <c r="I18" i="209" s="1"/>
  <c r="O56" i="210"/>
  <c r="K56" i="210"/>
  <c r="V55" i="210"/>
  <c r="M55" i="210" s="1"/>
  <c r="U55" i="210"/>
  <c r="O55" i="210"/>
  <c r="K55" i="210"/>
  <c r="G55" i="210"/>
  <c r="V54" i="210"/>
  <c r="U54" i="210"/>
  <c r="O54" i="210"/>
  <c r="M54" i="210"/>
  <c r="AF54" i="210" s="1"/>
  <c r="K54" i="210"/>
  <c r="G54" i="210"/>
  <c r="V53" i="210"/>
  <c r="M53" i="210" s="1"/>
  <c r="U53" i="210"/>
  <c r="O53" i="210"/>
  <c r="K53" i="210"/>
  <c r="G53" i="210"/>
  <c r="V52" i="210"/>
  <c r="U52" i="210"/>
  <c r="O52" i="210"/>
  <c r="M52" i="210"/>
  <c r="AF52" i="210" s="1"/>
  <c r="K52" i="210"/>
  <c r="G52" i="210"/>
  <c r="V51" i="210"/>
  <c r="U51" i="210"/>
  <c r="O51" i="210"/>
  <c r="M51" i="210"/>
  <c r="AF51" i="210" s="1"/>
  <c r="K51" i="210"/>
  <c r="G51" i="210"/>
  <c r="AF50" i="210"/>
  <c r="V50" i="210"/>
  <c r="U50" i="210"/>
  <c r="O50" i="210"/>
  <c r="M50" i="210"/>
  <c r="AE50" i="210" s="1"/>
  <c r="K50" i="210"/>
  <c r="G50" i="210"/>
  <c r="AE49" i="210"/>
  <c r="V49" i="210"/>
  <c r="U49" i="210"/>
  <c r="O49" i="210"/>
  <c r="M49" i="210"/>
  <c r="N49" i="210" s="1"/>
  <c r="K49" i="210"/>
  <c r="G49" i="210"/>
  <c r="V48" i="210"/>
  <c r="M48" i="210" s="1"/>
  <c r="U48" i="210"/>
  <c r="O48" i="210"/>
  <c r="K48" i="210"/>
  <c r="G48" i="210"/>
  <c r="AF47" i="210"/>
  <c r="X47" i="210"/>
  <c r="W47" i="210"/>
  <c r="V47" i="210"/>
  <c r="O47" i="210"/>
  <c r="M47" i="210"/>
  <c r="K47" i="210"/>
  <c r="G47" i="210"/>
  <c r="AD46" i="210"/>
  <c r="Z46" i="210"/>
  <c r="Y46" i="210"/>
  <c r="O46" i="210"/>
  <c r="K46" i="210"/>
  <c r="V45" i="210"/>
  <c r="M45" i="210" s="1"/>
  <c r="U45" i="210"/>
  <c r="O45" i="210"/>
  <c r="K45" i="210"/>
  <c r="G45" i="210"/>
  <c r="AF44" i="210"/>
  <c r="AE44" i="210"/>
  <c r="V44" i="210"/>
  <c r="U44" i="210"/>
  <c r="O44" i="210"/>
  <c r="M44" i="210"/>
  <c r="N44" i="210" s="1"/>
  <c r="K44" i="210"/>
  <c r="G44" i="210"/>
  <c r="V43" i="210"/>
  <c r="M43" i="210" s="1"/>
  <c r="U43" i="210"/>
  <c r="O43" i="210"/>
  <c r="K43" i="210"/>
  <c r="G43" i="210"/>
  <c r="V42" i="210"/>
  <c r="M42" i="210" s="1"/>
  <c r="O42" i="210"/>
  <c r="K42" i="210"/>
  <c r="G42" i="210"/>
  <c r="AD41" i="210"/>
  <c r="Z41" i="210"/>
  <c r="L19" i="209" s="1"/>
  <c r="Y41" i="210"/>
  <c r="O41" i="210"/>
  <c r="K41" i="210"/>
  <c r="V40" i="210"/>
  <c r="M40" i="210" s="1"/>
  <c r="U40" i="210"/>
  <c r="O40" i="210"/>
  <c r="K40" i="210"/>
  <c r="G40" i="210"/>
  <c r="V39" i="210"/>
  <c r="M39" i="210" s="1"/>
  <c r="U39" i="210"/>
  <c r="O39" i="210"/>
  <c r="K39" i="210"/>
  <c r="G39" i="210"/>
  <c r="V38" i="210"/>
  <c r="U38" i="210"/>
  <c r="O38" i="210"/>
  <c r="M38" i="210"/>
  <c r="AF38" i="210" s="1"/>
  <c r="K38" i="210"/>
  <c r="G38" i="210"/>
  <c r="X37" i="210"/>
  <c r="W37" i="210"/>
  <c r="V37" i="210"/>
  <c r="M37" i="210" s="1"/>
  <c r="O37" i="210"/>
  <c r="K37" i="210"/>
  <c r="G37" i="210"/>
  <c r="AD36" i="210"/>
  <c r="Z36" i="210"/>
  <c r="K19" i="209" s="1"/>
  <c r="Y36" i="210"/>
  <c r="K18" i="209" s="1"/>
  <c r="O36" i="210"/>
  <c r="K36" i="210"/>
  <c r="V35" i="210"/>
  <c r="U35" i="210"/>
  <c r="O35" i="210"/>
  <c r="M35" i="210"/>
  <c r="AF35" i="210" s="1"/>
  <c r="K35" i="210"/>
  <c r="G35" i="210"/>
  <c r="X34" i="210"/>
  <c r="W34" i="210"/>
  <c r="V34" i="210"/>
  <c r="M34" i="210" s="1"/>
  <c r="U34" i="210"/>
  <c r="O34" i="210"/>
  <c r="K34" i="210"/>
  <c r="G34" i="210"/>
  <c r="V33" i="210"/>
  <c r="U33" i="210"/>
  <c r="O33" i="210"/>
  <c r="M33" i="210"/>
  <c r="AF33" i="210" s="1"/>
  <c r="K33" i="210"/>
  <c r="G33" i="210"/>
  <c r="V32" i="210"/>
  <c r="M32" i="210" s="1"/>
  <c r="U32" i="210"/>
  <c r="O32" i="210"/>
  <c r="K32" i="210"/>
  <c r="G32" i="210"/>
  <c r="V31" i="210"/>
  <c r="U31" i="210"/>
  <c r="O31" i="210"/>
  <c r="M31" i="210"/>
  <c r="AF31" i="210" s="1"/>
  <c r="K31" i="210"/>
  <c r="G31" i="210"/>
  <c r="V30" i="210"/>
  <c r="U30" i="210"/>
  <c r="O30" i="210"/>
  <c r="M30" i="210"/>
  <c r="AF30" i="210" s="1"/>
  <c r="K30" i="210"/>
  <c r="G30" i="210"/>
  <c r="X29" i="210"/>
  <c r="W29" i="210"/>
  <c r="V29" i="210"/>
  <c r="M29" i="210" s="1"/>
  <c r="O29" i="210"/>
  <c r="K29" i="210"/>
  <c r="G29" i="210"/>
  <c r="AD28" i="210"/>
  <c r="G21" i="209" s="1"/>
  <c r="Z28" i="210"/>
  <c r="Y28" i="210"/>
  <c r="O28" i="210"/>
  <c r="K28" i="210"/>
  <c r="G13" i="209" s="1"/>
  <c r="V27" i="210"/>
  <c r="U27" i="210"/>
  <c r="O27" i="210"/>
  <c r="M27" i="210"/>
  <c r="AF27" i="210" s="1"/>
  <c r="K27" i="210"/>
  <c r="G27" i="210"/>
  <c r="AF26" i="210"/>
  <c r="V26" i="210"/>
  <c r="U26" i="210"/>
  <c r="O26" i="210"/>
  <c r="M26" i="210"/>
  <c r="AE26" i="210" s="1"/>
  <c r="K26" i="210"/>
  <c r="G26" i="210"/>
  <c r="AE25" i="210"/>
  <c r="V25" i="210"/>
  <c r="U25" i="210"/>
  <c r="O25" i="210"/>
  <c r="N25" i="210"/>
  <c r="Q25" i="210" s="1"/>
  <c r="M25" i="210"/>
  <c r="AF25" i="210" s="1"/>
  <c r="K25" i="210"/>
  <c r="G25" i="210"/>
  <c r="V24" i="210"/>
  <c r="M24" i="210" s="1"/>
  <c r="U24" i="210"/>
  <c r="O24" i="210"/>
  <c r="K24" i="210"/>
  <c r="G24" i="210"/>
  <c r="AF23" i="210"/>
  <c r="AE23" i="210"/>
  <c r="V23" i="210"/>
  <c r="U23" i="210"/>
  <c r="O23" i="210"/>
  <c r="M23" i="210"/>
  <c r="N23" i="210" s="1"/>
  <c r="K23" i="210"/>
  <c r="G23" i="210"/>
  <c r="AF22" i="210"/>
  <c r="AE22" i="210"/>
  <c r="V22" i="210"/>
  <c r="O22" i="210"/>
  <c r="M22" i="210"/>
  <c r="N22" i="210" s="1"/>
  <c r="K22" i="210"/>
  <c r="G22" i="210"/>
  <c r="AD21" i="210"/>
  <c r="Z21" i="210"/>
  <c r="Y21" i="210"/>
  <c r="F18" i="209" s="1"/>
  <c r="O21" i="210"/>
  <c r="K21" i="210"/>
  <c r="V20" i="210"/>
  <c r="M20" i="210" s="1"/>
  <c r="U20" i="210"/>
  <c r="O20" i="210"/>
  <c r="K20" i="210"/>
  <c r="G20" i="210"/>
  <c r="V19" i="210"/>
  <c r="M19" i="210" s="1"/>
  <c r="U19" i="210"/>
  <c r="O19" i="210"/>
  <c r="K19" i="210"/>
  <c r="G19" i="210"/>
  <c r="V18" i="210"/>
  <c r="M18" i="210" s="1"/>
  <c r="U18" i="210"/>
  <c r="O18" i="210"/>
  <c r="K18" i="210"/>
  <c r="G18" i="210"/>
  <c r="V17" i="210"/>
  <c r="U17" i="210"/>
  <c r="O17" i="210"/>
  <c r="M17" i="210"/>
  <c r="AF17" i="210" s="1"/>
  <c r="K17" i="210"/>
  <c r="G17" i="210"/>
  <c r="V16" i="210"/>
  <c r="M16" i="210" s="1"/>
  <c r="U16" i="210"/>
  <c r="O16" i="210"/>
  <c r="K16" i="210"/>
  <c r="G16" i="210"/>
  <c r="V15" i="210"/>
  <c r="U15" i="210"/>
  <c r="O15" i="210"/>
  <c r="M15" i="210"/>
  <c r="AF15" i="210" s="1"/>
  <c r="K15" i="210"/>
  <c r="G15" i="210"/>
  <c r="X14" i="210"/>
  <c r="W14" i="210"/>
  <c r="V14" i="210"/>
  <c r="O14" i="210"/>
  <c r="M14" i="210"/>
  <c r="AF14" i="210" s="1"/>
  <c r="K14" i="210"/>
  <c r="G14" i="210"/>
  <c r="AD13" i="210"/>
  <c r="E21" i="209" s="1"/>
  <c r="Z13" i="210"/>
  <c r="Y13" i="210"/>
  <c r="O13" i="210"/>
  <c r="M13" i="210"/>
  <c r="AF13" i="210" s="1"/>
  <c r="AG9" i="210" s="1"/>
  <c r="K13" i="210"/>
  <c r="V12" i="210"/>
  <c r="U12" i="210"/>
  <c r="O12" i="210"/>
  <c r="M12" i="210"/>
  <c r="AF12" i="210" s="1"/>
  <c r="K12" i="210"/>
  <c r="G12" i="210"/>
  <c r="V11" i="210"/>
  <c r="U11" i="210"/>
  <c r="O11" i="210"/>
  <c r="M11" i="210"/>
  <c r="AF11" i="210" s="1"/>
  <c r="K11" i="210"/>
  <c r="G11" i="210"/>
  <c r="AF10" i="210"/>
  <c r="V10" i="210"/>
  <c r="U10" i="210"/>
  <c r="O10" i="210"/>
  <c r="M10" i="210"/>
  <c r="AE10" i="210" s="1"/>
  <c r="K10" i="210"/>
  <c r="G10" i="210"/>
  <c r="AF9" i="210"/>
  <c r="X9" i="210"/>
  <c r="W9" i="210"/>
  <c r="V9" i="210"/>
  <c r="O9" i="210"/>
  <c r="M9" i="210"/>
  <c r="AE9" i="210" s="1"/>
  <c r="K9" i="210"/>
  <c r="G9" i="210"/>
  <c r="AD8" i="210"/>
  <c r="Z8" i="210"/>
  <c r="Z2" i="210" s="1"/>
  <c r="L6" i="209" s="1"/>
  <c r="Y8" i="210"/>
  <c r="O8" i="210"/>
  <c r="M8" i="210"/>
  <c r="AF8" i="210" s="1"/>
  <c r="AG5" i="210" s="1"/>
  <c r="K8" i="210"/>
  <c r="AF7" i="210"/>
  <c r="V7" i="210"/>
  <c r="U7" i="210"/>
  <c r="O7" i="210"/>
  <c r="M7" i="210"/>
  <c r="AE7" i="210" s="1"/>
  <c r="K7" i="210"/>
  <c r="G7" i="210"/>
  <c r="AE6" i="210"/>
  <c r="V6" i="210"/>
  <c r="U6" i="210"/>
  <c r="O6" i="210"/>
  <c r="N6" i="210"/>
  <c r="Q6" i="210" s="1"/>
  <c r="M6" i="210"/>
  <c r="AF6" i="210" s="1"/>
  <c r="K6" i="210"/>
  <c r="G6" i="210"/>
  <c r="AE5" i="210"/>
  <c r="V5" i="210"/>
  <c r="O5" i="210"/>
  <c r="N5" i="210"/>
  <c r="Q5" i="210" s="1"/>
  <c r="M5" i="210"/>
  <c r="AF5" i="210" s="1"/>
  <c r="K5" i="210"/>
  <c r="G5" i="210"/>
  <c r="F1" i="210" s="1"/>
  <c r="Y2" i="210"/>
  <c r="K6" i="209" s="1"/>
  <c r="H2" i="210"/>
  <c r="H1" i="210"/>
  <c r="D1" i="210"/>
  <c r="M22" i="209"/>
  <c r="L22" i="209"/>
  <c r="K22" i="209"/>
  <c r="J22" i="209"/>
  <c r="I22" i="209"/>
  <c r="H22" i="209"/>
  <c r="G22" i="209"/>
  <c r="F22" i="209"/>
  <c r="E22" i="209"/>
  <c r="D22" i="209"/>
  <c r="M21" i="209"/>
  <c r="L21" i="209"/>
  <c r="K21" i="209"/>
  <c r="I21" i="209"/>
  <c r="H21" i="209"/>
  <c r="F21" i="209"/>
  <c r="D21" i="209"/>
  <c r="M20" i="209"/>
  <c r="L20" i="209"/>
  <c r="K20" i="209"/>
  <c r="J20" i="209"/>
  <c r="I20" i="209"/>
  <c r="H20" i="209"/>
  <c r="G20" i="209"/>
  <c r="F20" i="209"/>
  <c r="E20" i="209"/>
  <c r="D20" i="209"/>
  <c r="J19" i="209"/>
  <c r="H19" i="209"/>
  <c r="G19" i="209"/>
  <c r="F19" i="209"/>
  <c r="E19" i="209"/>
  <c r="D19" i="209"/>
  <c r="L18" i="209"/>
  <c r="J18" i="209"/>
  <c r="H18" i="209"/>
  <c r="G18" i="209"/>
  <c r="E18" i="209"/>
  <c r="D18" i="209"/>
  <c r="M17" i="209"/>
  <c r="L17" i="209"/>
  <c r="K17" i="209"/>
  <c r="J17" i="209"/>
  <c r="I17" i="209"/>
  <c r="H17" i="209"/>
  <c r="G17" i="209"/>
  <c r="F17" i="209"/>
  <c r="E17" i="209"/>
  <c r="D17" i="209"/>
  <c r="M16" i="209"/>
  <c r="L16" i="209"/>
  <c r="K16" i="209"/>
  <c r="J16" i="209"/>
  <c r="I16" i="209"/>
  <c r="H16" i="209"/>
  <c r="G16" i="209"/>
  <c r="F16" i="209"/>
  <c r="E16" i="209"/>
  <c r="D16" i="209"/>
  <c r="M13" i="209"/>
  <c r="L13" i="209"/>
  <c r="K13" i="209"/>
  <c r="I6" i="209" s="1"/>
  <c r="J13" i="209"/>
  <c r="I13" i="209"/>
  <c r="H13" i="209"/>
  <c r="F13" i="209"/>
  <c r="E13" i="209"/>
  <c r="D13" i="209"/>
  <c r="M6" i="209"/>
  <c r="F3" i="209"/>
  <c r="C3" i="209"/>
  <c r="AF18" i="210" l="1"/>
  <c r="AE18" i="210"/>
  <c r="N18" i="210"/>
  <c r="AF32" i="210"/>
  <c r="AE32" i="210"/>
  <c r="N32" i="210"/>
  <c r="N43" i="210"/>
  <c r="AF43" i="210"/>
  <c r="AE43" i="210"/>
  <c r="Q62" i="210"/>
  <c r="P62" i="210"/>
  <c r="Q67" i="210"/>
  <c r="P67" i="210"/>
  <c r="AF16" i="210"/>
  <c r="AE16" i="210"/>
  <c r="N16" i="210"/>
  <c r="Q23" i="210"/>
  <c r="P23" i="210"/>
  <c r="N58" i="210"/>
  <c r="AF58" i="210"/>
  <c r="AE58" i="210"/>
  <c r="N19" i="210"/>
  <c r="AF19" i="210"/>
  <c r="AE19" i="210"/>
  <c r="AF29" i="210"/>
  <c r="M36" i="210"/>
  <c r="AE29" i="210"/>
  <c r="N29" i="210"/>
  <c r="AF39" i="210"/>
  <c r="AE39" i="210"/>
  <c r="N39" i="210"/>
  <c r="Q22" i="210"/>
  <c r="P22" i="210"/>
  <c r="F2" i="210"/>
  <c r="I3" i="209"/>
  <c r="N42" i="210"/>
  <c r="M46" i="210"/>
  <c r="AF42" i="210"/>
  <c r="AE42" i="210"/>
  <c r="N48" i="210"/>
  <c r="AF48" i="210"/>
  <c r="AE48" i="210"/>
  <c r="N64" i="210"/>
  <c r="M69" i="210"/>
  <c r="AF64" i="210"/>
  <c r="AE64" i="210"/>
  <c r="N59" i="210"/>
  <c r="AF59" i="210"/>
  <c r="AE59" i="210"/>
  <c r="G6" i="209"/>
  <c r="F6" i="209"/>
  <c r="E6" i="209"/>
  <c r="M56" i="210"/>
  <c r="Q63" i="210"/>
  <c r="P63" i="210"/>
  <c r="N40" i="210"/>
  <c r="AF40" i="210"/>
  <c r="AE40" i="210"/>
  <c r="Q49" i="210"/>
  <c r="P49" i="210"/>
  <c r="N57" i="210"/>
  <c r="M61" i="210"/>
  <c r="AF57" i="210"/>
  <c r="AE57" i="210"/>
  <c r="Q65" i="210"/>
  <c r="P65" i="210"/>
  <c r="Q44" i="210"/>
  <c r="P44" i="210"/>
  <c r="N37" i="210"/>
  <c r="M41" i="210"/>
  <c r="AF37" i="210"/>
  <c r="AE37" i="210"/>
  <c r="N20" i="210"/>
  <c r="AF20" i="210"/>
  <c r="AE20" i="210"/>
  <c r="N24" i="210"/>
  <c r="AF24" i="210"/>
  <c r="AE24" i="210"/>
  <c r="AF34" i="210"/>
  <c r="AE34" i="210"/>
  <c r="N34" i="210"/>
  <c r="Q60" i="210"/>
  <c r="P60" i="210"/>
  <c r="N45" i="210"/>
  <c r="AF45" i="210"/>
  <c r="AE45" i="210"/>
  <c r="AF55" i="210"/>
  <c r="AE55" i="210"/>
  <c r="N55" i="210"/>
  <c r="AF53" i="210"/>
  <c r="AE53" i="210"/>
  <c r="N53" i="210"/>
  <c r="N13" i="210"/>
  <c r="N14" i="210"/>
  <c r="N17" i="210"/>
  <c r="M28" i="210"/>
  <c r="N33" i="210"/>
  <c r="N35" i="210"/>
  <c r="N38" i="210"/>
  <c r="AE47" i="210"/>
  <c r="AF49" i="210"/>
  <c r="N54" i="210"/>
  <c r="AF65" i="210"/>
  <c r="AF67" i="210"/>
  <c r="AD2" i="210"/>
  <c r="N6" i="209" s="1"/>
  <c r="N8" i="210"/>
  <c r="N9" i="210"/>
  <c r="N12" i="210"/>
  <c r="N15" i="210"/>
  <c r="N31" i="210"/>
  <c r="N52" i="210"/>
  <c r="N11" i="210"/>
  <c r="N27" i="210"/>
  <c r="N30" i="210"/>
  <c r="N51" i="210"/>
  <c r="N7" i="210"/>
  <c r="N10" i="210"/>
  <c r="N26" i="210"/>
  <c r="N47" i="210"/>
  <c r="N50" i="210"/>
  <c r="N66" i="210"/>
  <c r="N68" i="210"/>
  <c r="AE17" i="210"/>
  <c r="M21" i="210"/>
  <c r="AE33" i="210"/>
  <c r="AE35" i="210"/>
  <c r="AE38" i="210"/>
  <c r="AE54" i="210"/>
  <c r="P5" i="210"/>
  <c r="P6" i="210"/>
  <c r="AE13" i="210"/>
  <c r="P25" i="210"/>
  <c r="AE12" i="210"/>
  <c r="AE14" i="210"/>
  <c r="AE15" i="210"/>
  <c r="AE31" i="210"/>
  <c r="AE52" i="210"/>
  <c r="AE8" i="210"/>
  <c r="AE11" i="210"/>
  <c r="AE27" i="210"/>
  <c r="AE30" i="210"/>
  <c r="AE51" i="210"/>
  <c r="Q50" i="210" l="1"/>
  <c r="P50" i="210"/>
  <c r="AF28" i="210"/>
  <c r="AG22" i="210" s="1"/>
  <c r="AE28" i="210"/>
  <c r="N28" i="210"/>
  <c r="Q14" i="210"/>
  <c r="P14" i="210"/>
  <c r="Q26" i="210"/>
  <c r="P26" i="210"/>
  <c r="Q45" i="210"/>
  <c r="P45" i="210"/>
  <c r="Q47" i="210"/>
  <c r="P47" i="210"/>
  <c r="Q10" i="210"/>
  <c r="P10" i="210"/>
  <c r="Q7" i="210"/>
  <c r="P7" i="210"/>
  <c r="Q32" i="210"/>
  <c r="P32" i="210"/>
  <c r="Q17" i="210"/>
  <c r="P17" i="210"/>
  <c r="Q53" i="210"/>
  <c r="P53" i="210"/>
  <c r="Q40" i="210"/>
  <c r="P40" i="210"/>
  <c r="Q51" i="210"/>
  <c r="P51" i="210"/>
  <c r="Q39" i="210"/>
  <c r="P39" i="210"/>
  <c r="N56" i="210"/>
  <c r="AF56" i="210"/>
  <c r="AG47" i="210" s="1"/>
  <c r="AE56" i="210"/>
  <c r="Q9" i="210"/>
  <c r="P9" i="210"/>
  <c r="P59" i="210"/>
  <c r="Q59" i="210"/>
  <c r="Q8" i="210"/>
  <c r="R5" i="210" s="1"/>
  <c r="P8" i="210"/>
  <c r="D14" i="209"/>
  <c r="Q19" i="210"/>
  <c r="P19" i="210"/>
  <c r="E14" i="209"/>
  <c r="E15" i="209" s="1"/>
  <c r="Q13" i="210"/>
  <c r="R9" i="210" s="1"/>
  <c r="P13" i="210"/>
  <c r="Q30" i="210"/>
  <c r="P30" i="210"/>
  <c r="Q11" i="210"/>
  <c r="P11" i="210"/>
  <c r="Q24" i="210"/>
  <c r="P24" i="210"/>
  <c r="Q48" i="210"/>
  <c r="P48" i="210"/>
  <c r="Q29" i="210"/>
  <c r="P29" i="210"/>
  <c r="Q16" i="210"/>
  <c r="P16" i="210"/>
  <c r="P42" i="210"/>
  <c r="Q42" i="210"/>
  <c r="Q34" i="210"/>
  <c r="P34" i="210"/>
  <c r="AF69" i="210"/>
  <c r="AG62" i="210" s="1"/>
  <c r="AE69" i="210"/>
  <c r="N69" i="210"/>
  <c r="P58" i="210"/>
  <c r="Q58" i="210"/>
  <c r="Q27" i="210"/>
  <c r="P27" i="210"/>
  <c r="Q55" i="210"/>
  <c r="P55" i="210"/>
  <c r="Q52" i="210"/>
  <c r="P52" i="210"/>
  <c r="Q18" i="210"/>
  <c r="P18" i="210"/>
  <c r="Q12" i="210"/>
  <c r="P12" i="210"/>
  <c r="Q37" i="210"/>
  <c r="P37" i="210"/>
  <c r="Q64" i="210"/>
  <c r="P64" i="210"/>
  <c r="N21" i="210"/>
  <c r="AF21" i="210"/>
  <c r="AG14" i="210" s="1"/>
  <c r="AE21" i="210"/>
  <c r="Q38" i="210"/>
  <c r="P38" i="210"/>
  <c r="Q68" i="210"/>
  <c r="P68" i="210"/>
  <c r="Q31" i="210"/>
  <c r="P31" i="210"/>
  <c r="Q35" i="210"/>
  <c r="P35" i="210"/>
  <c r="N61" i="210"/>
  <c r="AF61" i="210"/>
  <c r="AG57" i="210" s="1"/>
  <c r="AE61" i="210"/>
  <c r="N36" i="210"/>
  <c r="AF36" i="210"/>
  <c r="AG29" i="210" s="1"/>
  <c r="AE36" i="210"/>
  <c r="N41" i="210"/>
  <c r="AF41" i="210"/>
  <c r="AG37" i="210" s="1"/>
  <c r="AE41" i="210"/>
  <c r="P43" i="210"/>
  <c r="Q43" i="210"/>
  <c r="Q54" i="210"/>
  <c r="P54" i="210"/>
  <c r="Q66" i="210"/>
  <c r="P66" i="210"/>
  <c r="Q15" i="210"/>
  <c r="P15" i="210"/>
  <c r="Q33" i="210"/>
  <c r="P33" i="210"/>
  <c r="P20" i="210"/>
  <c r="Q20" i="210"/>
  <c r="P57" i="210"/>
  <c r="Q57" i="210"/>
  <c r="N46" i="210"/>
  <c r="AE46" i="210"/>
  <c r="AF46" i="210"/>
  <c r="AG42" i="210" s="1"/>
  <c r="Q61" i="210" l="1"/>
  <c r="R57" i="210" s="1"/>
  <c r="P61" i="210"/>
  <c r="J14" i="209"/>
  <c r="J15" i="209" s="1"/>
  <c r="Q46" i="210"/>
  <c r="R42" i="210" s="1"/>
  <c r="P46" i="210"/>
  <c r="H14" i="209"/>
  <c r="H15" i="209" s="1"/>
  <c r="Q28" i="210"/>
  <c r="R22" i="210" s="1"/>
  <c r="P28" i="210"/>
  <c r="G14" i="209"/>
  <c r="G15" i="209" s="1"/>
  <c r="D15" i="209"/>
  <c r="Q69" i="210"/>
  <c r="R62" i="210" s="1"/>
  <c r="P69" i="210"/>
  <c r="M14" i="209"/>
  <c r="M15" i="209" s="1"/>
  <c r="P41" i="210"/>
  <c r="Q41" i="210"/>
  <c r="R37" i="210" s="1"/>
  <c r="L14" i="209"/>
  <c r="L15" i="209" s="1"/>
  <c r="Q36" i="210"/>
  <c r="R29" i="210" s="1"/>
  <c r="K14" i="209"/>
  <c r="P36" i="210"/>
  <c r="Q21" i="210"/>
  <c r="R14" i="210" s="1"/>
  <c r="P21" i="210"/>
  <c r="F14" i="209"/>
  <c r="F15" i="209" s="1"/>
  <c r="I14" i="209"/>
  <c r="I15" i="209" s="1"/>
  <c r="P56" i="210"/>
  <c r="Q56" i="210"/>
  <c r="R47" i="210" s="1"/>
  <c r="D2" i="210"/>
  <c r="E7" i="209" l="1"/>
  <c r="F7" i="209"/>
  <c r="G7" i="209"/>
  <c r="G8" i="209"/>
  <c r="F8" i="209"/>
  <c r="E8" i="209"/>
  <c r="K15" i="209"/>
  <c r="I8" i="209" s="1"/>
  <c r="I7" i="209"/>
  <c r="AD76" i="208" l="1"/>
  <c r="Z76" i="208"/>
  <c r="M19" i="207" s="1"/>
  <c r="Y76" i="208"/>
  <c r="O76" i="208"/>
  <c r="K76" i="208"/>
  <c r="V75" i="208"/>
  <c r="U75" i="208"/>
  <c r="O75" i="208"/>
  <c r="M75" i="208"/>
  <c r="AE75" i="208" s="1"/>
  <c r="K75" i="208"/>
  <c r="G75" i="208"/>
  <c r="V74" i="208"/>
  <c r="U74" i="208"/>
  <c r="O74" i="208"/>
  <c r="M74" i="208"/>
  <c r="N74" i="208" s="1"/>
  <c r="K74" i="208"/>
  <c r="G74" i="208"/>
  <c r="AF73" i="208"/>
  <c r="AE73" i="208"/>
  <c r="V73" i="208"/>
  <c r="U73" i="208"/>
  <c r="O73" i="208"/>
  <c r="N73" i="208"/>
  <c r="Q73" i="208" s="1"/>
  <c r="M73" i="208"/>
  <c r="K73" i="208"/>
  <c r="G73" i="208"/>
  <c r="AF72" i="208"/>
  <c r="AE72" i="208"/>
  <c r="X72" i="208"/>
  <c r="W72" i="208"/>
  <c r="V72" i="208"/>
  <c r="U72" i="208"/>
  <c r="O72" i="208"/>
  <c r="M72" i="208"/>
  <c r="N72" i="208" s="1"/>
  <c r="K72" i="208"/>
  <c r="G72" i="208"/>
  <c r="AF71" i="208"/>
  <c r="AE71" i="208"/>
  <c r="V71" i="208"/>
  <c r="U71" i="208"/>
  <c r="O71" i="208"/>
  <c r="N71" i="208"/>
  <c r="Q71" i="208" s="1"/>
  <c r="M71" i="208"/>
  <c r="K71" i="208"/>
  <c r="G71" i="208"/>
  <c r="AF70" i="208"/>
  <c r="AE70" i="208"/>
  <c r="V70" i="208"/>
  <c r="U70" i="208"/>
  <c r="O70" i="208"/>
  <c r="N70" i="208"/>
  <c r="Q70" i="208" s="1"/>
  <c r="M70" i="208"/>
  <c r="K70" i="208"/>
  <c r="G70" i="208"/>
  <c r="V69" i="208"/>
  <c r="U69" i="208"/>
  <c r="O69" i="208"/>
  <c r="M69" i="208"/>
  <c r="N69" i="208" s="1"/>
  <c r="K69" i="208"/>
  <c r="G69" i="208"/>
  <c r="V68" i="208"/>
  <c r="M68" i="208" s="1"/>
  <c r="U68" i="208"/>
  <c r="O68" i="208"/>
  <c r="K68" i="208"/>
  <c r="G68" i="208"/>
  <c r="AE67" i="208"/>
  <c r="X67" i="208"/>
  <c r="W67" i="208"/>
  <c r="V67" i="208"/>
  <c r="O67" i="208"/>
  <c r="N67" i="208"/>
  <c r="Q67" i="208" s="1"/>
  <c r="M67" i="208"/>
  <c r="AF67" i="208" s="1"/>
  <c r="K67" i="208"/>
  <c r="G67" i="208"/>
  <c r="AD66" i="208"/>
  <c r="J21" i="207" s="1"/>
  <c r="Z66" i="208"/>
  <c r="Y66" i="208"/>
  <c r="O66" i="208"/>
  <c r="K66" i="208"/>
  <c r="V65" i="208"/>
  <c r="M65" i="208" s="1"/>
  <c r="U65" i="208"/>
  <c r="O65" i="208"/>
  <c r="K65" i="208"/>
  <c r="G65" i="208"/>
  <c r="V64" i="208"/>
  <c r="M64" i="208" s="1"/>
  <c r="U64" i="208"/>
  <c r="O64" i="208"/>
  <c r="K64" i="208"/>
  <c r="G64" i="208"/>
  <c r="V63" i="208"/>
  <c r="M63" i="208" s="1"/>
  <c r="U63" i="208"/>
  <c r="O63" i="208"/>
  <c r="K63" i="208"/>
  <c r="G63" i="208"/>
  <c r="V62" i="208"/>
  <c r="M62" i="208" s="1"/>
  <c r="O62" i="208"/>
  <c r="K62" i="208"/>
  <c r="G62" i="208"/>
  <c r="AD61" i="208"/>
  <c r="Z61" i="208"/>
  <c r="I19" i="207" s="1"/>
  <c r="Y61" i="208"/>
  <c r="O61" i="208"/>
  <c r="K61" i="208"/>
  <c r="V60" i="208"/>
  <c r="M60" i="208" s="1"/>
  <c r="U60" i="208"/>
  <c r="O60" i="208"/>
  <c r="K60" i="208"/>
  <c r="G60" i="208"/>
  <c r="V59" i="208"/>
  <c r="M59" i="208" s="1"/>
  <c r="U59" i="208"/>
  <c r="O59" i="208"/>
  <c r="K59" i="208"/>
  <c r="G59" i="208"/>
  <c r="V58" i="208"/>
  <c r="U58" i="208"/>
  <c r="O58" i="208"/>
  <c r="M58" i="208"/>
  <c r="AF58" i="208" s="1"/>
  <c r="K58" i="208"/>
  <c r="G58" i="208"/>
  <c r="V57" i="208"/>
  <c r="U57" i="208"/>
  <c r="O57" i="208"/>
  <c r="M57" i="208"/>
  <c r="AE57" i="208" s="1"/>
  <c r="K57" i="208"/>
  <c r="G57" i="208"/>
  <c r="V56" i="208"/>
  <c r="U56" i="208"/>
  <c r="O56" i="208"/>
  <c r="M56" i="208"/>
  <c r="N56" i="208" s="1"/>
  <c r="K56" i="208"/>
  <c r="G56" i="208"/>
  <c r="AF55" i="208"/>
  <c r="AE55" i="208"/>
  <c r="V55" i="208"/>
  <c r="U55" i="208"/>
  <c r="O55" i="208"/>
  <c r="N55" i="208"/>
  <c r="Q55" i="208" s="1"/>
  <c r="M55" i="208"/>
  <c r="K55" i="208"/>
  <c r="G55" i="208"/>
  <c r="AF54" i="208"/>
  <c r="AE54" i="208"/>
  <c r="V54" i="208"/>
  <c r="U54" i="208"/>
  <c r="O54" i="208"/>
  <c r="N54" i="208"/>
  <c r="Q54" i="208" s="1"/>
  <c r="M54" i="208"/>
  <c r="K54" i="208"/>
  <c r="G54" i="208"/>
  <c r="V53" i="208"/>
  <c r="U53" i="208"/>
  <c r="O53" i="208"/>
  <c r="M53" i="208"/>
  <c r="N53" i="208" s="1"/>
  <c r="K53" i="208"/>
  <c r="G53" i="208"/>
  <c r="AF52" i="208"/>
  <c r="AE52" i="208"/>
  <c r="X52" i="208"/>
  <c r="W52" i="208"/>
  <c r="V52" i="208"/>
  <c r="O52" i="208"/>
  <c r="N52" i="208"/>
  <c r="Q52" i="208" s="1"/>
  <c r="M52" i="208"/>
  <c r="M61" i="208" s="1"/>
  <c r="K52" i="208"/>
  <c r="G52" i="208"/>
  <c r="AD51" i="208"/>
  <c r="Z51" i="208"/>
  <c r="Y51" i="208"/>
  <c r="O51" i="208"/>
  <c r="K51" i="208"/>
  <c r="V50" i="208"/>
  <c r="U50" i="208"/>
  <c r="O50" i="208"/>
  <c r="M50" i="208"/>
  <c r="N50" i="208" s="1"/>
  <c r="K50" i="208"/>
  <c r="G50" i="208"/>
  <c r="V49" i="208"/>
  <c r="M49" i="208" s="1"/>
  <c r="U49" i="208"/>
  <c r="O49" i="208"/>
  <c r="K49" i="208"/>
  <c r="G49" i="208"/>
  <c r="V48" i="208"/>
  <c r="M48" i="208" s="1"/>
  <c r="U48" i="208"/>
  <c r="O48" i="208"/>
  <c r="K48" i="208"/>
  <c r="G48" i="208"/>
  <c r="V47" i="208"/>
  <c r="M47" i="208" s="1"/>
  <c r="O47" i="208"/>
  <c r="K47" i="208"/>
  <c r="G47" i="208"/>
  <c r="AD46" i="208"/>
  <c r="L21" i="207" s="1"/>
  <c r="Z46" i="208"/>
  <c r="L19" i="207" s="1"/>
  <c r="Y46" i="208"/>
  <c r="O46" i="208"/>
  <c r="K46" i="208"/>
  <c r="V45" i="208"/>
  <c r="M45" i="208" s="1"/>
  <c r="U45" i="208"/>
  <c r="O45" i="208"/>
  <c r="K45" i="208"/>
  <c r="G45" i="208"/>
  <c r="V44" i="208"/>
  <c r="M44" i="208" s="1"/>
  <c r="U44" i="208"/>
  <c r="O44" i="208"/>
  <c r="K44" i="208"/>
  <c r="G44" i="208"/>
  <c r="X43" i="208"/>
  <c r="W43" i="208"/>
  <c r="V43" i="208"/>
  <c r="M43" i="208" s="1"/>
  <c r="U43" i="208"/>
  <c r="O43" i="208"/>
  <c r="K43" i="208"/>
  <c r="G43" i="208"/>
  <c r="V42" i="208"/>
  <c r="M42" i="208" s="1"/>
  <c r="U42" i="208"/>
  <c r="O42" i="208"/>
  <c r="K42" i="208"/>
  <c r="G42" i="208"/>
  <c r="V41" i="208"/>
  <c r="M41" i="208" s="1"/>
  <c r="U41" i="208"/>
  <c r="O41" i="208"/>
  <c r="K41" i="208"/>
  <c r="G41" i="208"/>
  <c r="X40" i="208"/>
  <c r="W40" i="208"/>
  <c r="V40" i="208"/>
  <c r="M40" i="208" s="1"/>
  <c r="O40" i="208"/>
  <c r="K40" i="208"/>
  <c r="G40" i="208"/>
  <c r="AD39" i="208"/>
  <c r="Z39" i="208"/>
  <c r="Y39" i="208"/>
  <c r="O39" i="208"/>
  <c r="K39" i="208"/>
  <c r="V38" i="208"/>
  <c r="M38" i="208" s="1"/>
  <c r="U38" i="208"/>
  <c r="O38" i="208"/>
  <c r="K38" i="208"/>
  <c r="G38" i="208"/>
  <c r="V37" i="208"/>
  <c r="U37" i="208"/>
  <c r="O37" i="208"/>
  <c r="M37" i="208"/>
  <c r="AF37" i="208" s="1"/>
  <c r="K37" i="208"/>
  <c r="G37" i="208"/>
  <c r="V36" i="208"/>
  <c r="U36" i="208"/>
  <c r="O36" i="208"/>
  <c r="M36" i="208"/>
  <c r="AE36" i="208" s="1"/>
  <c r="K36" i="208"/>
  <c r="G36" i="208"/>
  <c r="X35" i="208"/>
  <c r="W35" i="208"/>
  <c r="V35" i="208"/>
  <c r="U35" i="208"/>
  <c r="O35" i="208"/>
  <c r="M35" i="208"/>
  <c r="N35" i="208" s="1"/>
  <c r="K35" i="208"/>
  <c r="G35" i="208"/>
  <c r="V34" i="208"/>
  <c r="U34" i="208"/>
  <c r="O34" i="208"/>
  <c r="M34" i="208"/>
  <c r="AE34" i="208" s="1"/>
  <c r="K34" i="208"/>
  <c r="G34" i="208"/>
  <c r="V33" i="208"/>
  <c r="U33" i="208"/>
  <c r="O33" i="208"/>
  <c r="M33" i="208"/>
  <c r="N33" i="208" s="1"/>
  <c r="K33" i="208"/>
  <c r="G33" i="208"/>
  <c r="AF32" i="208"/>
  <c r="AE32" i="208"/>
  <c r="V32" i="208"/>
  <c r="U32" i="208"/>
  <c r="O32" i="208"/>
  <c r="N32" i="208"/>
  <c r="Q32" i="208" s="1"/>
  <c r="M32" i="208"/>
  <c r="K32" i="208"/>
  <c r="G32" i="208"/>
  <c r="AF31" i="208"/>
  <c r="AE31" i="208"/>
  <c r="V31" i="208"/>
  <c r="U31" i="208"/>
  <c r="O31" i="208"/>
  <c r="N31" i="208"/>
  <c r="Q31" i="208" s="1"/>
  <c r="M31" i="208"/>
  <c r="K31" i="208"/>
  <c r="G31" i="208"/>
  <c r="AF30" i="208"/>
  <c r="AE30" i="208"/>
  <c r="X30" i="208"/>
  <c r="W30" i="208"/>
  <c r="V30" i="208"/>
  <c r="O30" i="208"/>
  <c r="M30" i="208"/>
  <c r="N30" i="208" s="1"/>
  <c r="K30" i="208"/>
  <c r="G30" i="208"/>
  <c r="AD29" i="208"/>
  <c r="Z29" i="208"/>
  <c r="Y29" i="208"/>
  <c r="O29" i="208"/>
  <c r="K29" i="208"/>
  <c r="AF28" i="208"/>
  <c r="AE28" i="208"/>
  <c r="V28" i="208"/>
  <c r="U28" i="208"/>
  <c r="O28" i="208"/>
  <c r="N28" i="208"/>
  <c r="Q28" i="208" s="1"/>
  <c r="M28" i="208"/>
  <c r="K28" i="208"/>
  <c r="G28" i="208"/>
  <c r="V27" i="208"/>
  <c r="U27" i="208"/>
  <c r="O27" i="208"/>
  <c r="M27" i="208"/>
  <c r="N27" i="208" s="1"/>
  <c r="K27" i="208"/>
  <c r="G27" i="208"/>
  <c r="V26" i="208"/>
  <c r="M26" i="208" s="1"/>
  <c r="U26" i="208"/>
  <c r="O26" i="208"/>
  <c r="K26" i="208"/>
  <c r="G26" i="208"/>
  <c r="V25" i="208"/>
  <c r="M25" i="208" s="1"/>
  <c r="U25" i="208"/>
  <c r="O25" i="208"/>
  <c r="K25" i="208"/>
  <c r="G25" i="208"/>
  <c r="V24" i="208"/>
  <c r="M24" i="208" s="1"/>
  <c r="U24" i="208"/>
  <c r="O24" i="208"/>
  <c r="K24" i="208"/>
  <c r="G24" i="208"/>
  <c r="V23" i="208"/>
  <c r="M23" i="208" s="1"/>
  <c r="O23" i="208"/>
  <c r="K23" i="208"/>
  <c r="G23" i="208"/>
  <c r="AD22" i="208"/>
  <c r="Z22" i="208"/>
  <c r="Y22" i="208"/>
  <c r="F18" i="207" s="1"/>
  <c r="O22" i="208"/>
  <c r="K22" i="208"/>
  <c r="V21" i="208"/>
  <c r="M21" i="208" s="1"/>
  <c r="U21" i="208"/>
  <c r="O21" i="208"/>
  <c r="K21" i="208"/>
  <c r="G21" i="208"/>
  <c r="V20" i="208"/>
  <c r="M20" i="208" s="1"/>
  <c r="U20" i="208"/>
  <c r="O20" i="208"/>
  <c r="K20" i="208"/>
  <c r="G20" i="208"/>
  <c r="V19" i="208"/>
  <c r="U19" i="208"/>
  <c r="O19" i="208"/>
  <c r="M19" i="208"/>
  <c r="AF19" i="208" s="1"/>
  <c r="K19" i="208"/>
  <c r="G19" i="208"/>
  <c r="V18" i="208"/>
  <c r="U18" i="208"/>
  <c r="O18" i="208"/>
  <c r="M18" i="208"/>
  <c r="AE18" i="208" s="1"/>
  <c r="K18" i="208"/>
  <c r="G18" i="208"/>
  <c r="V17" i="208"/>
  <c r="U17" i="208"/>
  <c r="O17" i="208"/>
  <c r="M17" i="208"/>
  <c r="N17" i="208" s="1"/>
  <c r="K17" i="208"/>
  <c r="G17" i="208"/>
  <c r="AF16" i="208"/>
  <c r="AE16" i="208"/>
  <c r="V16" i="208"/>
  <c r="U16" i="208"/>
  <c r="O16" i="208"/>
  <c r="N16" i="208"/>
  <c r="Q16" i="208" s="1"/>
  <c r="M16" i="208"/>
  <c r="K16" i="208"/>
  <c r="G16" i="208"/>
  <c r="AF15" i="208"/>
  <c r="X15" i="208"/>
  <c r="W15" i="208"/>
  <c r="V15" i="208"/>
  <c r="O15" i="208"/>
  <c r="M15" i="208"/>
  <c r="K15" i="208"/>
  <c r="G15" i="208"/>
  <c r="AD14" i="208"/>
  <c r="Z14" i="208"/>
  <c r="Y14" i="208"/>
  <c r="O14" i="208"/>
  <c r="K14" i="208"/>
  <c r="AF13" i="208"/>
  <c r="AE13" i="208"/>
  <c r="V13" i="208"/>
  <c r="U13" i="208"/>
  <c r="O13" i="208"/>
  <c r="N13" i="208"/>
  <c r="Q13" i="208" s="1"/>
  <c r="M13" i="208"/>
  <c r="K13" i="208"/>
  <c r="G13" i="208"/>
  <c r="AF12" i="208"/>
  <c r="AE12" i="208"/>
  <c r="X12" i="208"/>
  <c r="W12" i="208"/>
  <c r="V12" i="208"/>
  <c r="U12" i="208"/>
  <c r="O12" i="208"/>
  <c r="M12" i="208"/>
  <c r="N12" i="208" s="1"/>
  <c r="K12" i="208"/>
  <c r="G12" i="208"/>
  <c r="AF11" i="208"/>
  <c r="AE11" i="208"/>
  <c r="V11" i="208"/>
  <c r="U11" i="208"/>
  <c r="O11" i="208"/>
  <c r="N11" i="208"/>
  <c r="Q11" i="208" s="1"/>
  <c r="M11" i="208"/>
  <c r="K11" i="208"/>
  <c r="G11" i="208"/>
  <c r="AF10" i="208"/>
  <c r="AE10" i="208"/>
  <c r="V10" i="208"/>
  <c r="U10" i="208"/>
  <c r="O10" i="208"/>
  <c r="N10" i="208"/>
  <c r="Q10" i="208" s="1"/>
  <c r="M10" i="208"/>
  <c r="M14" i="208" s="1"/>
  <c r="K10" i="208"/>
  <c r="G10" i="208"/>
  <c r="AF9" i="208"/>
  <c r="AE9" i="208"/>
  <c r="X9" i="208"/>
  <c r="W9" i="208"/>
  <c r="V9" i="208"/>
  <c r="O9" i="208"/>
  <c r="M9" i="208"/>
  <c r="N9" i="208" s="1"/>
  <c r="K9" i="208"/>
  <c r="G9" i="208"/>
  <c r="AD8" i="208"/>
  <c r="Z8" i="208"/>
  <c r="Y8" i="208"/>
  <c r="O8" i="208"/>
  <c r="K8" i="208"/>
  <c r="AF7" i="208"/>
  <c r="AE7" i="208"/>
  <c r="V7" i="208"/>
  <c r="U7" i="208"/>
  <c r="O7" i="208"/>
  <c r="N7" i="208"/>
  <c r="Q7" i="208" s="1"/>
  <c r="M7" i="208"/>
  <c r="K7" i="208"/>
  <c r="G7" i="208"/>
  <c r="V6" i="208"/>
  <c r="U6" i="208"/>
  <c r="O6" i="208"/>
  <c r="M6" i="208"/>
  <c r="N6" i="208" s="1"/>
  <c r="K6" i="208"/>
  <c r="G6" i="208"/>
  <c r="V5" i="208"/>
  <c r="O5" i="208"/>
  <c r="M5" i="208"/>
  <c r="N5" i="208" s="1"/>
  <c r="K5" i="208"/>
  <c r="G5" i="208"/>
  <c r="F1" i="208" s="1"/>
  <c r="Y2" i="208"/>
  <c r="H2" i="208"/>
  <c r="H1" i="208"/>
  <c r="D1" i="208"/>
  <c r="M22" i="207"/>
  <c r="L22" i="207"/>
  <c r="K22" i="207"/>
  <c r="J22" i="207"/>
  <c r="I22" i="207"/>
  <c r="H22" i="207"/>
  <c r="G22" i="207"/>
  <c r="F22" i="207"/>
  <c r="E22" i="207"/>
  <c r="D22" i="207"/>
  <c r="M21" i="207"/>
  <c r="K21" i="207"/>
  <c r="I21" i="207"/>
  <c r="H21" i="207"/>
  <c r="G21" i="207"/>
  <c r="F21" i="207"/>
  <c r="E21" i="207"/>
  <c r="D21" i="207"/>
  <c r="M20" i="207"/>
  <c r="L20" i="207"/>
  <c r="K20" i="207"/>
  <c r="J20" i="207"/>
  <c r="I20" i="207"/>
  <c r="H20" i="207"/>
  <c r="G20" i="207"/>
  <c r="F20" i="207"/>
  <c r="E20" i="207"/>
  <c r="D20" i="207"/>
  <c r="K19" i="207"/>
  <c r="J19" i="207"/>
  <c r="H19" i="207"/>
  <c r="G19" i="207"/>
  <c r="F19" i="207"/>
  <c r="E19" i="207"/>
  <c r="D19" i="207"/>
  <c r="M18" i="207"/>
  <c r="L18" i="207"/>
  <c r="K18" i="207"/>
  <c r="J18" i="207"/>
  <c r="I18" i="207"/>
  <c r="H18" i="207"/>
  <c r="G18" i="207"/>
  <c r="E18" i="207"/>
  <c r="D18" i="207"/>
  <c r="M17" i="207"/>
  <c r="L17" i="207"/>
  <c r="K17" i="207"/>
  <c r="J17" i="207"/>
  <c r="I17" i="207"/>
  <c r="H17" i="207"/>
  <c r="G17" i="207"/>
  <c r="F17" i="207"/>
  <c r="E17" i="207"/>
  <c r="D17" i="207"/>
  <c r="M16" i="207"/>
  <c r="L16" i="207"/>
  <c r="K16" i="207"/>
  <c r="J16" i="207"/>
  <c r="I16" i="207"/>
  <c r="H16" i="207"/>
  <c r="G16" i="207"/>
  <c r="F16" i="207"/>
  <c r="E16" i="207"/>
  <c r="D16" i="207"/>
  <c r="M13" i="207"/>
  <c r="L13" i="207"/>
  <c r="K13" i="207"/>
  <c r="I6" i="207" s="1"/>
  <c r="J13" i="207"/>
  <c r="I13" i="207"/>
  <c r="H13" i="207"/>
  <c r="G13" i="207"/>
  <c r="G6" i="207" s="1"/>
  <c r="F13" i="207"/>
  <c r="E13" i="207"/>
  <c r="D13" i="207"/>
  <c r="M6" i="207"/>
  <c r="K6" i="207"/>
  <c r="F3" i="207"/>
  <c r="C3" i="207"/>
  <c r="AF23" i="208" l="1"/>
  <c r="AE23" i="208"/>
  <c r="M29" i="208"/>
  <c r="N23" i="208"/>
  <c r="M46" i="208"/>
  <c r="AF40" i="208"/>
  <c r="AE40" i="208"/>
  <c r="N40" i="208"/>
  <c r="N49" i="208"/>
  <c r="AF49" i="208"/>
  <c r="AE49" i="208"/>
  <c r="AF60" i="208"/>
  <c r="AE60" i="208"/>
  <c r="N60" i="208"/>
  <c r="N47" i="208"/>
  <c r="M51" i="208"/>
  <c r="AF47" i="208"/>
  <c r="AE47" i="208"/>
  <c r="AF44" i="208"/>
  <c r="AE44" i="208"/>
  <c r="N44" i="208"/>
  <c r="P53" i="208"/>
  <c r="Q53" i="208"/>
  <c r="Q30" i="208"/>
  <c r="P30" i="208"/>
  <c r="Q9" i="208"/>
  <c r="P9" i="208"/>
  <c r="M66" i="208"/>
  <c r="AF62" i="208"/>
  <c r="AE62" i="208"/>
  <c r="N62" i="208"/>
  <c r="P27" i="208"/>
  <c r="Q27" i="208"/>
  <c r="Q12" i="208"/>
  <c r="P12" i="208"/>
  <c r="M22" i="208"/>
  <c r="P6" i="208"/>
  <c r="Q6" i="208"/>
  <c r="AF20" i="208"/>
  <c r="AE20" i="208"/>
  <c r="N20" i="208"/>
  <c r="N25" i="208"/>
  <c r="AF25" i="208"/>
  <c r="AE25" i="208"/>
  <c r="P69" i="208"/>
  <c r="Q69" i="208"/>
  <c r="Q72" i="208"/>
  <c r="P72" i="208"/>
  <c r="N65" i="208"/>
  <c r="AF65" i="208"/>
  <c r="AE65" i="208"/>
  <c r="AF61" i="208"/>
  <c r="AG52" i="208" s="1"/>
  <c r="AE61" i="208"/>
  <c r="N61" i="208"/>
  <c r="AF42" i="208"/>
  <c r="AE42" i="208"/>
  <c r="N42" i="208"/>
  <c r="Q17" i="208"/>
  <c r="P17" i="208"/>
  <c r="I3" i="207"/>
  <c r="F2" i="208"/>
  <c r="N14" i="208"/>
  <c r="AF14" i="208"/>
  <c r="AG9" i="208" s="1"/>
  <c r="AE14" i="208"/>
  <c r="AF21" i="208"/>
  <c r="AE21" i="208"/>
  <c r="N21" i="208"/>
  <c r="N26" i="208"/>
  <c r="AF26" i="208"/>
  <c r="AE26" i="208"/>
  <c r="AF38" i="208"/>
  <c r="AE38" i="208"/>
  <c r="N38" i="208"/>
  <c r="P50" i="208"/>
  <c r="Q50" i="208"/>
  <c r="AF63" i="208"/>
  <c r="AE63" i="208"/>
  <c r="N63" i="208"/>
  <c r="P5" i="208"/>
  <c r="Q5" i="208"/>
  <c r="AF24" i="208"/>
  <c r="AE24" i="208"/>
  <c r="N24" i="208"/>
  <c r="Q33" i="208"/>
  <c r="P33" i="208"/>
  <c r="Q35" i="208"/>
  <c r="P35" i="208"/>
  <c r="AF43" i="208"/>
  <c r="AE43" i="208"/>
  <c r="N43" i="208"/>
  <c r="AF45" i="208"/>
  <c r="AE45" i="208"/>
  <c r="N45" i="208"/>
  <c r="Q74" i="208"/>
  <c r="P74" i="208"/>
  <c r="Q56" i="208"/>
  <c r="P56" i="208"/>
  <c r="AF41" i="208"/>
  <c r="AE41" i="208"/>
  <c r="N41" i="208"/>
  <c r="N48" i="208"/>
  <c r="AF48" i="208"/>
  <c r="AE48" i="208"/>
  <c r="AF59" i="208"/>
  <c r="AE59" i="208"/>
  <c r="N59" i="208"/>
  <c r="N64" i="208"/>
  <c r="AF64" i="208"/>
  <c r="AE64" i="208"/>
  <c r="N68" i="208"/>
  <c r="AF68" i="208"/>
  <c r="AE68" i="208"/>
  <c r="M76" i="208"/>
  <c r="AE17" i="208"/>
  <c r="AF18" i="208"/>
  <c r="AE33" i="208"/>
  <c r="AF34" i="208"/>
  <c r="AE35" i="208"/>
  <c r="AF36" i="208"/>
  <c r="M39" i="208"/>
  <c r="AE56" i="208"/>
  <c r="AF57" i="208"/>
  <c r="AE74" i="208"/>
  <c r="AF75" i="208"/>
  <c r="AE15" i="208"/>
  <c r="AF17" i="208"/>
  <c r="AF33" i="208"/>
  <c r="AF35" i="208"/>
  <c r="AF56" i="208"/>
  <c r="AF74" i="208"/>
  <c r="E6" i="207"/>
  <c r="F6" i="207"/>
  <c r="AE5" i="208"/>
  <c r="AE6" i="208"/>
  <c r="AE27" i="208"/>
  <c r="AE50" i="208"/>
  <c r="AE53" i="208"/>
  <c r="AE69" i="208"/>
  <c r="Z2" i="208"/>
  <c r="L6" i="207" s="1"/>
  <c r="AF5" i="208"/>
  <c r="AF6" i="208"/>
  <c r="N19" i="208"/>
  <c r="AF27" i="208"/>
  <c r="N37" i="208"/>
  <c r="AF50" i="208"/>
  <c r="AF53" i="208"/>
  <c r="N58" i="208"/>
  <c r="AF69" i="208"/>
  <c r="AD2" i="208"/>
  <c r="N6" i="207" s="1"/>
  <c r="M8" i="208"/>
  <c r="N15" i="208"/>
  <c r="N18" i="208"/>
  <c r="N34" i="208"/>
  <c r="N36" i="208"/>
  <c r="N57" i="208"/>
  <c r="N75" i="208"/>
  <c r="P11" i="208"/>
  <c r="P13" i="208"/>
  <c r="P16" i="208"/>
  <c r="P32" i="208"/>
  <c r="P52" i="208"/>
  <c r="P55" i="208"/>
  <c r="P71" i="208"/>
  <c r="P73" i="208"/>
  <c r="P7" i="208"/>
  <c r="P10" i="208"/>
  <c r="AE19" i="208"/>
  <c r="P28" i="208"/>
  <c r="P31" i="208"/>
  <c r="AE37" i="208"/>
  <c r="P54" i="208"/>
  <c r="AE58" i="208"/>
  <c r="P67" i="208"/>
  <c r="P70" i="208"/>
  <c r="AD80" i="206"/>
  <c r="Z80" i="206"/>
  <c r="Y80" i="206"/>
  <c r="O80" i="206"/>
  <c r="K80" i="206"/>
  <c r="V79" i="206"/>
  <c r="U79" i="206"/>
  <c r="O79" i="206"/>
  <c r="M79" i="206"/>
  <c r="AE79" i="206" s="1"/>
  <c r="K79" i="206"/>
  <c r="G79" i="206"/>
  <c r="V78" i="206"/>
  <c r="U78" i="206"/>
  <c r="O78" i="206"/>
  <c r="M78" i="206"/>
  <c r="AF78" i="206" s="1"/>
  <c r="K78" i="206"/>
  <c r="G78" i="206"/>
  <c r="V77" i="206"/>
  <c r="M77" i="206" s="1"/>
  <c r="U77" i="206"/>
  <c r="O77" i="206"/>
  <c r="K77" i="206"/>
  <c r="G77" i="206"/>
  <c r="X76" i="206"/>
  <c r="W76" i="206"/>
  <c r="V76" i="206"/>
  <c r="U76" i="206"/>
  <c r="O76" i="206"/>
  <c r="M76" i="206"/>
  <c r="N76" i="206" s="1"/>
  <c r="K76" i="206"/>
  <c r="G76" i="206"/>
  <c r="V75" i="206"/>
  <c r="M75" i="206" s="1"/>
  <c r="U75" i="206"/>
  <c r="O75" i="206"/>
  <c r="K75" i="206"/>
  <c r="G75" i="206"/>
  <c r="V74" i="206"/>
  <c r="U74" i="206"/>
  <c r="O74" i="206"/>
  <c r="M74" i="206"/>
  <c r="N74" i="206" s="1"/>
  <c r="K74" i="206"/>
  <c r="G74" i="206"/>
  <c r="AF73" i="206"/>
  <c r="V73" i="206"/>
  <c r="U73" i="206"/>
  <c r="O73" i="206"/>
  <c r="M73" i="206"/>
  <c r="AE73" i="206" s="1"/>
  <c r="K73" i="206"/>
  <c r="G73" i="206"/>
  <c r="V72" i="206"/>
  <c r="U72" i="206"/>
  <c r="O72" i="206"/>
  <c r="M72" i="206"/>
  <c r="AF72" i="206" s="1"/>
  <c r="K72" i="206"/>
  <c r="G72" i="206"/>
  <c r="X71" i="206"/>
  <c r="W71" i="206"/>
  <c r="V71" i="206"/>
  <c r="O71" i="206"/>
  <c r="M71" i="206"/>
  <c r="AF71" i="206" s="1"/>
  <c r="K71" i="206"/>
  <c r="G71" i="206"/>
  <c r="AD70" i="206"/>
  <c r="J21" i="205" s="1"/>
  <c r="Z70" i="206"/>
  <c r="J19" i="205" s="1"/>
  <c r="Y70" i="206"/>
  <c r="J18" i="205" s="1"/>
  <c r="O70" i="206"/>
  <c r="K70" i="206"/>
  <c r="V69" i="206"/>
  <c r="U69" i="206"/>
  <c r="O69" i="206"/>
  <c r="M69" i="206"/>
  <c r="N69" i="206" s="1"/>
  <c r="K69" i="206"/>
  <c r="G69" i="206"/>
  <c r="V68" i="206"/>
  <c r="M68" i="206" s="1"/>
  <c r="U68" i="206"/>
  <c r="O68" i="206"/>
  <c r="K68" i="206"/>
  <c r="G68" i="206"/>
  <c r="V67" i="206"/>
  <c r="U67" i="206"/>
  <c r="O67" i="206"/>
  <c r="M67" i="206"/>
  <c r="N67" i="206" s="1"/>
  <c r="K67" i="206"/>
  <c r="G67" i="206"/>
  <c r="V66" i="206"/>
  <c r="M66" i="206" s="1"/>
  <c r="O66" i="206"/>
  <c r="K66" i="206"/>
  <c r="G66" i="206"/>
  <c r="AD65" i="206"/>
  <c r="Z65" i="206"/>
  <c r="Y65" i="206"/>
  <c r="I18" i="205" s="1"/>
  <c r="O65" i="206"/>
  <c r="K65" i="206"/>
  <c r="V64" i="206"/>
  <c r="U64" i="206"/>
  <c r="O64" i="206"/>
  <c r="M64" i="206"/>
  <c r="AF64" i="206" s="1"/>
  <c r="K64" i="206"/>
  <c r="G64" i="206"/>
  <c r="X63" i="206"/>
  <c r="W63" i="206"/>
  <c r="V63" i="206"/>
  <c r="M63" i="206" s="1"/>
  <c r="U63" i="206"/>
  <c r="O63" i="206"/>
  <c r="K63" i="206"/>
  <c r="G63" i="206"/>
  <c r="V62" i="206"/>
  <c r="U62" i="206"/>
  <c r="O62" i="206"/>
  <c r="M62" i="206"/>
  <c r="N62" i="206" s="1"/>
  <c r="K62" i="206"/>
  <c r="G62" i="206"/>
  <c r="V61" i="206"/>
  <c r="M61" i="206" s="1"/>
  <c r="U61" i="206"/>
  <c r="O61" i="206"/>
  <c r="K61" i="206"/>
  <c r="G61" i="206"/>
  <c r="V60" i="206"/>
  <c r="U60" i="206"/>
  <c r="O60" i="206"/>
  <c r="M60" i="206"/>
  <c r="N60" i="206" s="1"/>
  <c r="K60" i="206"/>
  <c r="G60" i="206"/>
  <c r="AF59" i="206"/>
  <c r="V59" i="206"/>
  <c r="U59" i="206"/>
  <c r="O59" i="206"/>
  <c r="M59" i="206"/>
  <c r="AE59" i="206" s="1"/>
  <c r="K59" i="206"/>
  <c r="G59" i="206"/>
  <c r="V58" i="206"/>
  <c r="U58" i="206"/>
  <c r="O58" i="206"/>
  <c r="M58" i="206"/>
  <c r="AF58" i="206" s="1"/>
  <c r="K58" i="206"/>
  <c r="G58" i="206"/>
  <c r="AE57" i="206"/>
  <c r="V57" i="206"/>
  <c r="U57" i="206"/>
  <c r="O57" i="206"/>
  <c r="M57" i="206"/>
  <c r="AF57" i="206" s="1"/>
  <c r="K57" i="206"/>
  <c r="G57" i="206"/>
  <c r="V56" i="206"/>
  <c r="M56" i="206" s="1"/>
  <c r="U56" i="206"/>
  <c r="O56" i="206"/>
  <c r="K56" i="206"/>
  <c r="G56" i="206"/>
  <c r="X55" i="206"/>
  <c r="W55" i="206"/>
  <c r="V55" i="206"/>
  <c r="O55" i="206"/>
  <c r="M55" i="206"/>
  <c r="K55" i="206"/>
  <c r="G55" i="206"/>
  <c r="AD54" i="206"/>
  <c r="H21" i="205" s="1"/>
  <c r="Z54" i="206"/>
  <c r="Y54" i="206"/>
  <c r="O54" i="206"/>
  <c r="K54" i="206"/>
  <c r="V53" i="206"/>
  <c r="U53" i="206"/>
  <c r="O53" i="206"/>
  <c r="M53" i="206"/>
  <c r="N53" i="206" s="1"/>
  <c r="K53" i="206"/>
  <c r="G53" i="206"/>
  <c r="AF52" i="206"/>
  <c r="V52" i="206"/>
  <c r="U52" i="206"/>
  <c r="P52" i="206"/>
  <c r="O52" i="206"/>
  <c r="N52" i="206"/>
  <c r="Q52" i="206" s="1"/>
  <c r="M52" i="206"/>
  <c r="AE52" i="206" s="1"/>
  <c r="K52" i="206"/>
  <c r="G52" i="206"/>
  <c r="V51" i="206"/>
  <c r="U51" i="206"/>
  <c r="O51" i="206"/>
  <c r="M51" i="206"/>
  <c r="AF51" i="206" s="1"/>
  <c r="K51" i="206"/>
  <c r="G51" i="206"/>
  <c r="V50" i="206"/>
  <c r="O50" i="206"/>
  <c r="M50" i="206"/>
  <c r="AF50" i="206" s="1"/>
  <c r="K50" i="206"/>
  <c r="G50" i="206"/>
  <c r="AD49" i="206"/>
  <c r="L21" i="205" s="1"/>
  <c r="Z49" i="206"/>
  <c r="L19" i="205" s="1"/>
  <c r="Y49" i="206"/>
  <c r="L18" i="205" s="1"/>
  <c r="O49" i="206"/>
  <c r="K49" i="206"/>
  <c r="V48" i="206"/>
  <c r="U48" i="206"/>
  <c r="O48" i="206"/>
  <c r="M48" i="206"/>
  <c r="AF48" i="206" s="1"/>
  <c r="K48" i="206"/>
  <c r="G48" i="206"/>
  <c r="V47" i="206"/>
  <c r="M47" i="206" s="1"/>
  <c r="U47" i="206"/>
  <c r="O47" i="206"/>
  <c r="K47" i="206"/>
  <c r="G47" i="206"/>
  <c r="V46" i="206"/>
  <c r="U46" i="206"/>
  <c r="O46" i="206"/>
  <c r="M46" i="206"/>
  <c r="N46" i="206" s="1"/>
  <c r="K46" i="206"/>
  <c r="G46" i="206"/>
  <c r="V45" i="206"/>
  <c r="M45" i="206" s="1"/>
  <c r="U45" i="206"/>
  <c r="O45" i="206"/>
  <c r="K45" i="206"/>
  <c r="G45" i="206"/>
  <c r="X44" i="206"/>
  <c r="W44" i="206"/>
  <c r="V44" i="206"/>
  <c r="U44" i="206"/>
  <c r="O44" i="206"/>
  <c r="M44" i="206"/>
  <c r="N44" i="206" s="1"/>
  <c r="K44" i="206"/>
  <c r="G44" i="206"/>
  <c r="AE43" i="206"/>
  <c r="V43" i="206"/>
  <c r="U43" i="206"/>
  <c r="O43" i="206"/>
  <c r="M43" i="206"/>
  <c r="AF43" i="206" s="1"/>
  <c r="K43" i="206"/>
  <c r="G43" i="206"/>
  <c r="V42" i="206"/>
  <c r="M42" i="206" s="1"/>
  <c r="U42" i="206"/>
  <c r="O42" i="206"/>
  <c r="K42" i="206"/>
  <c r="G42" i="206"/>
  <c r="V41" i="206"/>
  <c r="U41" i="206"/>
  <c r="O41" i="206"/>
  <c r="M41" i="206"/>
  <c r="N41" i="206" s="1"/>
  <c r="K41" i="206"/>
  <c r="G41" i="206"/>
  <c r="X40" i="206"/>
  <c r="W40" i="206"/>
  <c r="V40" i="206"/>
  <c r="M40" i="206" s="1"/>
  <c r="O40" i="206"/>
  <c r="K40" i="206"/>
  <c r="G40" i="206"/>
  <c r="AD39" i="206"/>
  <c r="Z39" i="206"/>
  <c r="Y39" i="206"/>
  <c r="K18" i="205" s="1"/>
  <c r="O39" i="206"/>
  <c r="K39" i="206"/>
  <c r="K13" i="205" s="1"/>
  <c r="I6" i="205" s="1"/>
  <c r="AF38" i="206"/>
  <c r="V38" i="206"/>
  <c r="U38" i="206"/>
  <c r="P38" i="206"/>
  <c r="O38" i="206"/>
  <c r="N38" i="206"/>
  <c r="Q38" i="206" s="1"/>
  <c r="M38" i="206"/>
  <c r="AE38" i="206" s="1"/>
  <c r="K38" i="206"/>
  <c r="G38" i="206"/>
  <c r="V37" i="206"/>
  <c r="U37" i="206"/>
  <c r="O37" i="206"/>
  <c r="M37" i="206"/>
  <c r="AF37" i="206" s="1"/>
  <c r="K37" i="206"/>
  <c r="G37" i="206"/>
  <c r="AE36" i="206"/>
  <c r="V36" i="206"/>
  <c r="U36" i="206"/>
  <c r="O36" i="206"/>
  <c r="M36" i="206"/>
  <c r="AF36" i="206" s="1"/>
  <c r="K36" i="206"/>
  <c r="G36" i="206"/>
  <c r="X35" i="206"/>
  <c r="W35" i="206"/>
  <c r="V35" i="206"/>
  <c r="M35" i="206" s="1"/>
  <c r="U35" i="206"/>
  <c r="O35" i="206"/>
  <c r="K35" i="206"/>
  <c r="G35" i="206"/>
  <c r="V34" i="206"/>
  <c r="U34" i="206"/>
  <c r="O34" i="206"/>
  <c r="M34" i="206"/>
  <c r="N34" i="206" s="1"/>
  <c r="K34" i="206"/>
  <c r="G34" i="206"/>
  <c r="V33" i="206"/>
  <c r="M33" i="206" s="1"/>
  <c r="U33" i="206"/>
  <c r="O33" i="206"/>
  <c r="K33" i="206"/>
  <c r="G33" i="206"/>
  <c r="V32" i="206"/>
  <c r="U32" i="206"/>
  <c r="O32" i="206"/>
  <c r="M32" i="206"/>
  <c r="N32" i="206" s="1"/>
  <c r="K32" i="206"/>
  <c r="G32" i="206"/>
  <c r="AF31" i="206"/>
  <c r="X31" i="206"/>
  <c r="W31" i="206"/>
  <c r="V31" i="206"/>
  <c r="O31" i="206"/>
  <c r="M31" i="206"/>
  <c r="AE31" i="206" s="1"/>
  <c r="K31" i="206"/>
  <c r="G31" i="206"/>
  <c r="AD30" i="206"/>
  <c r="Z30" i="206"/>
  <c r="Y30" i="206"/>
  <c r="G18" i="205" s="1"/>
  <c r="O30" i="206"/>
  <c r="K30" i="206"/>
  <c r="V29" i="206"/>
  <c r="U29" i="206"/>
  <c r="O29" i="206"/>
  <c r="M29" i="206"/>
  <c r="N29" i="206" s="1"/>
  <c r="K29" i="206"/>
  <c r="G29" i="206"/>
  <c r="X28" i="206"/>
  <c r="W28" i="206"/>
  <c r="V28" i="206"/>
  <c r="M28" i="206" s="1"/>
  <c r="U28" i="206"/>
  <c r="O28" i="206"/>
  <c r="K28" i="206"/>
  <c r="G28" i="206"/>
  <c r="V27" i="206"/>
  <c r="U27" i="206"/>
  <c r="O27" i="206"/>
  <c r="M27" i="206"/>
  <c r="N27" i="206" s="1"/>
  <c r="K27" i="206"/>
  <c r="G27" i="206"/>
  <c r="AF26" i="206"/>
  <c r="AE26" i="206"/>
  <c r="V26" i="206"/>
  <c r="U26" i="206"/>
  <c r="O26" i="206"/>
  <c r="N26" i="206"/>
  <c r="Q26" i="206" s="1"/>
  <c r="M26" i="206"/>
  <c r="K26" i="206"/>
  <c r="G26" i="206"/>
  <c r="V25" i="206"/>
  <c r="U25" i="206"/>
  <c r="O25" i="206"/>
  <c r="M25" i="206"/>
  <c r="AE25" i="206" s="1"/>
  <c r="K25" i="206"/>
  <c r="G25" i="206"/>
  <c r="V24" i="206"/>
  <c r="M24" i="206" s="1"/>
  <c r="U24" i="206"/>
  <c r="O24" i="206"/>
  <c r="K24" i="206"/>
  <c r="G24" i="206"/>
  <c r="V23" i="206"/>
  <c r="M23" i="206" s="1"/>
  <c r="O23" i="206"/>
  <c r="K23" i="206"/>
  <c r="G23" i="206"/>
  <c r="AD22" i="206"/>
  <c r="Z22" i="206"/>
  <c r="Y22" i="206"/>
  <c r="O22" i="206"/>
  <c r="K22" i="206"/>
  <c r="V21" i="206"/>
  <c r="M21" i="206" s="1"/>
  <c r="U21" i="206"/>
  <c r="O21" i="206"/>
  <c r="K21" i="206"/>
  <c r="G21" i="206"/>
  <c r="V20" i="206"/>
  <c r="U20" i="206"/>
  <c r="O20" i="206"/>
  <c r="M20" i="206"/>
  <c r="N20" i="206" s="1"/>
  <c r="K20" i="206"/>
  <c r="G20" i="206"/>
  <c r="V19" i="206"/>
  <c r="M19" i="206" s="1"/>
  <c r="U19" i="206"/>
  <c r="O19" i="206"/>
  <c r="K19" i="206"/>
  <c r="G19" i="206"/>
  <c r="V18" i="206"/>
  <c r="U18" i="206"/>
  <c r="O18" i="206"/>
  <c r="M18" i="206"/>
  <c r="N18" i="206" s="1"/>
  <c r="K18" i="206"/>
  <c r="G18" i="206"/>
  <c r="AF17" i="206"/>
  <c r="AE17" i="206"/>
  <c r="V17" i="206"/>
  <c r="U17" i="206"/>
  <c r="O17" i="206"/>
  <c r="N17" i="206"/>
  <c r="Q17" i="206" s="1"/>
  <c r="M17" i="206"/>
  <c r="K17" i="206"/>
  <c r="G17" i="206"/>
  <c r="V16" i="206"/>
  <c r="U16" i="206"/>
  <c r="O16" i="206"/>
  <c r="M16" i="206"/>
  <c r="AE16" i="206" s="1"/>
  <c r="K16" i="206"/>
  <c r="G16" i="206"/>
  <c r="X15" i="206"/>
  <c r="W15" i="206"/>
  <c r="V15" i="206"/>
  <c r="O15" i="206"/>
  <c r="M15" i="206"/>
  <c r="N15" i="206" s="1"/>
  <c r="K15" i="206"/>
  <c r="G15" i="206"/>
  <c r="AD14" i="206"/>
  <c r="AD2" i="206" s="1"/>
  <c r="N6" i="205" s="1"/>
  <c r="Z14" i="206"/>
  <c r="Z2" i="206" s="1"/>
  <c r="L6" i="205" s="1"/>
  <c r="Y14" i="206"/>
  <c r="Y2" i="206" s="1"/>
  <c r="K6" i="205" s="1"/>
  <c r="O14" i="206"/>
  <c r="K14" i="206"/>
  <c r="V13" i="206"/>
  <c r="U13" i="206"/>
  <c r="O13" i="206"/>
  <c r="M13" i="206"/>
  <c r="N13" i="206" s="1"/>
  <c r="K13" i="206"/>
  <c r="G13" i="206"/>
  <c r="AF12" i="206"/>
  <c r="AE12" i="206"/>
  <c r="X12" i="206"/>
  <c r="W12" i="206"/>
  <c r="V12" i="206"/>
  <c r="U12" i="206"/>
  <c r="O12" i="206"/>
  <c r="N12" i="206"/>
  <c r="Q12" i="206" s="1"/>
  <c r="M12" i="206"/>
  <c r="K12" i="206"/>
  <c r="G12" i="206"/>
  <c r="V11" i="206"/>
  <c r="U11" i="206"/>
  <c r="O11" i="206"/>
  <c r="M11" i="206"/>
  <c r="AE11" i="206" s="1"/>
  <c r="K11" i="206"/>
  <c r="G11" i="206"/>
  <c r="F1" i="206" s="1"/>
  <c r="V10" i="206"/>
  <c r="M10" i="206" s="1"/>
  <c r="U10" i="206"/>
  <c r="O10" i="206"/>
  <c r="K10" i="206"/>
  <c r="G10" i="206"/>
  <c r="X9" i="206"/>
  <c r="W9" i="206"/>
  <c r="V9" i="206"/>
  <c r="M9" i="206" s="1"/>
  <c r="O9" i="206"/>
  <c r="K9" i="206"/>
  <c r="G9" i="206"/>
  <c r="AD8" i="206"/>
  <c r="Z8" i="206"/>
  <c r="Y8" i="206"/>
  <c r="D18" i="205" s="1"/>
  <c r="O8" i="206"/>
  <c r="K8" i="206"/>
  <c r="V7" i="206"/>
  <c r="M7" i="206" s="1"/>
  <c r="U7" i="206"/>
  <c r="O7" i="206"/>
  <c r="K7" i="206"/>
  <c r="G7" i="206"/>
  <c r="V6" i="206"/>
  <c r="U6" i="206"/>
  <c r="O6" i="206"/>
  <c r="M6" i="206"/>
  <c r="M8" i="206" s="1"/>
  <c r="K6" i="206"/>
  <c r="G6" i="206"/>
  <c r="AF5" i="206"/>
  <c r="V5" i="206"/>
  <c r="O5" i="206"/>
  <c r="N5" i="206"/>
  <c r="P5" i="206" s="1"/>
  <c r="M5" i="206"/>
  <c r="AE5" i="206" s="1"/>
  <c r="K5" i="206"/>
  <c r="G5" i="206"/>
  <c r="H2" i="206"/>
  <c r="H1" i="206"/>
  <c r="D1" i="206"/>
  <c r="F3" i="205" s="1"/>
  <c r="M22" i="205"/>
  <c r="L22" i="205"/>
  <c r="K22" i="205"/>
  <c r="J22" i="205"/>
  <c r="I22" i="205"/>
  <c r="H22" i="205"/>
  <c r="G22" i="205"/>
  <c r="F22" i="205"/>
  <c r="E22" i="205"/>
  <c r="D22" i="205"/>
  <c r="M21" i="205"/>
  <c r="K21" i="205"/>
  <c r="I21" i="205"/>
  <c r="G21" i="205"/>
  <c r="F21" i="205"/>
  <c r="E21" i="205"/>
  <c r="D21" i="205"/>
  <c r="M20" i="205"/>
  <c r="L20" i="205"/>
  <c r="K20" i="205"/>
  <c r="J20" i="205"/>
  <c r="I20" i="205"/>
  <c r="H20" i="205"/>
  <c r="G20" i="205"/>
  <c r="F20" i="205"/>
  <c r="E20" i="205"/>
  <c r="D20" i="205"/>
  <c r="M19" i="205"/>
  <c r="K19" i="205"/>
  <c r="I19" i="205"/>
  <c r="H19" i="205"/>
  <c r="G19" i="205"/>
  <c r="F19" i="205"/>
  <c r="E19" i="205"/>
  <c r="D19" i="205"/>
  <c r="M18" i="205"/>
  <c r="H18" i="205"/>
  <c r="F18" i="205"/>
  <c r="M17" i="205"/>
  <c r="L17" i="205"/>
  <c r="K17" i="205"/>
  <c r="J17" i="205"/>
  <c r="I17" i="205"/>
  <c r="H17" i="205"/>
  <c r="G17" i="205"/>
  <c r="F17" i="205"/>
  <c r="E17" i="205"/>
  <c r="D17" i="205"/>
  <c r="M16" i="205"/>
  <c r="L16" i="205"/>
  <c r="K16" i="205"/>
  <c r="J16" i="205"/>
  <c r="I16" i="205"/>
  <c r="H16" i="205"/>
  <c r="G16" i="205"/>
  <c r="F16" i="205"/>
  <c r="E16" i="205"/>
  <c r="D16" i="205"/>
  <c r="M13" i="205"/>
  <c r="L13" i="205"/>
  <c r="J13" i="205"/>
  <c r="I13" i="205"/>
  <c r="H13" i="205"/>
  <c r="G13" i="205"/>
  <c r="F13" i="205"/>
  <c r="E13" i="205"/>
  <c r="D13" i="205"/>
  <c r="G6" i="205" s="1"/>
  <c r="M6" i="205"/>
  <c r="C3" i="205"/>
  <c r="Q75" i="208" l="1"/>
  <c r="P75" i="208"/>
  <c r="Q37" i="208"/>
  <c r="P37" i="208"/>
  <c r="AF39" i="208"/>
  <c r="AG30" i="208" s="1"/>
  <c r="AE39" i="208"/>
  <c r="N39" i="208"/>
  <c r="AF22" i="208"/>
  <c r="AG15" i="208" s="1"/>
  <c r="AE22" i="208"/>
  <c r="N22" i="208"/>
  <c r="Q57" i="208"/>
  <c r="P57" i="208"/>
  <c r="Q36" i="208"/>
  <c r="P36" i="208"/>
  <c r="Q19" i="208"/>
  <c r="P19" i="208"/>
  <c r="Q59" i="208"/>
  <c r="P59" i="208"/>
  <c r="Q34" i="208"/>
  <c r="P34" i="208"/>
  <c r="Q45" i="208"/>
  <c r="P45" i="208"/>
  <c r="Q42" i="208"/>
  <c r="P42" i="208"/>
  <c r="Q44" i="208"/>
  <c r="P44" i="208"/>
  <c r="Q49" i="208"/>
  <c r="P49" i="208"/>
  <c r="Q64" i="208"/>
  <c r="P64" i="208"/>
  <c r="Q18" i="208"/>
  <c r="P18" i="208"/>
  <c r="Q26" i="208"/>
  <c r="P26" i="208"/>
  <c r="Q40" i="208"/>
  <c r="P40" i="208"/>
  <c r="Q21" i="208"/>
  <c r="P21" i="208"/>
  <c r="P62" i="208"/>
  <c r="Q62" i="208"/>
  <c r="Q15" i="208"/>
  <c r="P15" i="208"/>
  <c r="AF8" i="208"/>
  <c r="AG5" i="208" s="1"/>
  <c r="N8" i="208"/>
  <c r="AE8" i="208"/>
  <c r="Q43" i="208"/>
  <c r="P43" i="208"/>
  <c r="P63" i="208"/>
  <c r="Q63" i="208"/>
  <c r="I14" i="207"/>
  <c r="I15" i="207" s="1"/>
  <c r="P61" i="208"/>
  <c r="Q61" i="208"/>
  <c r="R52" i="208" s="1"/>
  <c r="Q25" i="208"/>
  <c r="P25" i="208"/>
  <c r="AF76" i="208"/>
  <c r="AG67" i="208" s="1"/>
  <c r="AE76" i="208"/>
  <c r="N76" i="208"/>
  <c r="Q48" i="208"/>
  <c r="P48" i="208"/>
  <c r="Q20" i="208"/>
  <c r="P20" i="208"/>
  <c r="N46" i="208"/>
  <c r="AF46" i="208"/>
  <c r="AG40" i="208" s="1"/>
  <c r="AE46" i="208"/>
  <c r="Q41" i="208"/>
  <c r="P41" i="208"/>
  <c r="N66" i="208"/>
  <c r="AF66" i="208"/>
  <c r="AG62" i="208" s="1"/>
  <c r="AE66" i="208"/>
  <c r="N51" i="208"/>
  <c r="AE51" i="208"/>
  <c r="AF51" i="208"/>
  <c r="AG47" i="208" s="1"/>
  <c r="P23" i="208"/>
  <c r="Q23" i="208"/>
  <c r="P24" i="208"/>
  <c r="Q24" i="208"/>
  <c r="Q58" i="208"/>
  <c r="P58" i="208"/>
  <c r="Q47" i="208"/>
  <c r="P47" i="208"/>
  <c r="AF29" i="208"/>
  <c r="AG23" i="208" s="1"/>
  <c r="N29" i="208"/>
  <c r="AE29" i="208"/>
  <c r="Q68" i="208"/>
  <c r="P68" i="208"/>
  <c r="Q14" i="208"/>
  <c r="R9" i="208" s="1"/>
  <c r="P14" i="208"/>
  <c r="E14" i="207"/>
  <c r="E15" i="207" s="1"/>
  <c r="Q60" i="208"/>
  <c r="P60" i="208"/>
  <c r="Q38" i="208"/>
  <c r="P38" i="208"/>
  <c r="Q65" i="208"/>
  <c r="P65" i="208"/>
  <c r="P74" i="206"/>
  <c r="Q74" i="206"/>
  <c r="N21" i="206"/>
  <c r="AF21" i="206"/>
  <c r="AE21" i="206"/>
  <c r="N35" i="206"/>
  <c r="AF35" i="206"/>
  <c r="AE35" i="206"/>
  <c r="P67" i="206"/>
  <c r="Q67" i="206"/>
  <c r="Q62" i="206"/>
  <c r="P62" i="206"/>
  <c r="M49" i="206"/>
  <c r="N40" i="206"/>
  <c r="AE40" i="206"/>
  <c r="AF40" i="206"/>
  <c r="N63" i="206"/>
  <c r="AF63" i="206"/>
  <c r="AE63" i="206"/>
  <c r="Q60" i="206"/>
  <c r="P60" i="206"/>
  <c r="Q44" i="206"/>
  <c r="P44" i="206"/>
  <c r="N28" i="206"/>
  <c r="AF28" i="206"/>
  <c r="AE28" i="206"/>
  <c r="N9" i="206"/>
  <c r="AF9" i="206"/>
  <c r="AE9" i="206"/>
  <c r="M14" i="206"/>
  <c r="N8" i="206"/>
  <c r="AF8" i="206"/>
  <c r="AG5" i="206" s="1"/>
  <c r="AE8" i="206"/>
  <c r="P32" i="206"/>
  <c r="Q32" i="206"/>
  <c r="Q29" i="206"/>
  <c r="P29" i="206"/>
  <c r="N61" i="206"/>
  <c r="AF61" i="206"/>
  <c r="AE61" i="206"/>
  <c r="Q15" i="206"/>
  <c r="P15" i="206"/>
  <c r="N47" i="206"/>
  <c r="AE47" i="206"/>
  <c r="AF47" i="206"/>
  <c r="Q18" i="206"/>
  <c r="P18" i="206"/>
  <c r="Q41" i="206"/>
  <c r="P41" i="206"/>
  <c r="N7" i="206"/>
  <c r="AF7" i="206"/>
  <c r="AE7" i="206"/>
  <c r="P20" i="206"/>
  <c r="Q20" i="206"/>
  <c r="P27" i="206"/>
  <c r="Q27" i="206"/>
  <c r="N33" i="206"/>
  <c r="AF33" i="206"/>
  <c r="M39" i="206"/>
  <c r="AE33" i="206"/>
  <c r="Q46" i="206"/>
  <c r="P46" i="206"/>
  <c r="N77" i="206"/>
  <c r="AE77" i="206"/>
  <c r="AF77" i="206"/>
  <c r="Q69" i="206"/>
  <c r="P69" i="206"/>
  <c r="F2" i="206"/>
  <c r="I3" i="205"/>
  <c r="N19" i="206"/>
  <c r="AF19" i="206"/>
  <c r="AE19" i="206"/>
  <c r="M30" i="206"/>
  <c r="AF23" i="206"/>
  <c r="AE23" i="206"/>
  <c r="N23" i="206"/>
  <c r="AE42" i="206"/>
  <c r="AF42" i="206"/>
  <c r="N42" i="206"/>
  <c r="N45" i="206"/>
  <c r="AF45" i="206"/>
  <c r="AE45" i="206"/>
  <c r="Q76" i="206"/>
  <c r="P76" i="206"/>
  <c r="AF66" i="206"/>
  <c r="AE66" i="206"/>
  <c r="M70" i="206"/>
  <c r="N66" i="206"/>
  <c r="N68" i="206"/>
  <c r="AF68" i="206"/>
  <c r="AE68" i="206"/>
  <c r="M65" i="206"/>
  <c r="N75" i="206"/>
  <c r="AF75" i="206"/>
  <c r="AE75" i="206"/>
  <c r="AF10" i="206"/>
  <c r="AE10" i="206"/>
  <c r="N10" i="206"/>
  <c r="P13" i="206"/>
  <c r="Q13" i="206"/>
  <c r="AF24" i="206"/>
  <c r="AE24" i="206"/>
  <c r="N24" i="206"/>
  <c r="P53" i="206"/>
  <c r="Q53" i="206"/>
  <c r="AF56" i="206"/>
  <c r="AE56" i="206"/>
  <c r="N56" i="206"/>
  <c r="P34" i="206"/>
  <c r="Q34" i="206"/>
  <c r="N79" i="206"/>
  <c r="AF11" i="206"/>
  <c r="AF16" i="206"/>
  <c r="AF25" i="206"/>
  <c r="AE44" i="206"/>
  <c r="N50" i="206"/>
  <c r="AE53" i="206"/>
  <c r="AE60" i="206"/>
  <c r="N64" i="206"/>
  <c r="AE67" i="206"/>
  <c r="AE74" i="206"/>
  <c r="N78" i="206"/>
  <c r="M80" i="206"/>
  <c r="AE6" i="206"/>
  <c r="AE18" i="206"/>
  <c r="AE27" i="206"/>
  <c r="N31" i="206"/>
  <c r="AE32" i="206"/>
  <c r="N36" i="206"/>
  <c r="N43" i="206"/>
  <c r="AF44" i="206"/>
  <c r="AF53" i="206"/>
  <c r="N57" i="206"/>
  <c r="AF60" i="206"/>
  <c r="AF67" i="206"/>
  <c r="AF74" i="206"/>
  <c r="N37" i="206"/>
  <c r="N51" i="206"/>
  <c r="N58" i="206"/>
  <c r="N72" i="206"/>
  <c r="E6" i="205"/>
  <c r="N6" i="206"/>
  <c r="AE37" i="206"/>
  <c r="N48" i="206"/>
  <c r="AE51" i="206"/>
  <c r="N71" i="206"/>
  <c r="AE72" i="206"/>
  <c r="AF79" i="206"/>
  <c r="AF6" i="206"/>
  <c r="AF18" i="206"/>
  <c r="AF27" i="206"/>
  <c r="AF32" i="206"/>
  <c r="AE46" i="206"/>
  <c r="AE62" i="206"/>
  <c r="AE69" i="206"/>
  <c r="AE58" i="206"/>
  <c r="AE13" i="206"/>
  <c r="AE20" i="206"/>
  <c r="AE34" i="206"/>
  <c r="AF46" i="206"/>
  <c r="M54" i="206"/>
  <c r="N59" i="206"/>
  <c r="AF62" i="206"/>
  <c r="AF69" i="206"/>
  <c r="N73" i="206"/>
  <c r="AF34" i="206"/>
  <c r="AE48" i="206"/>
  <c r="AE55" i="206"/>
  <c r="AE76" i="206"/>
  <c r="N11" i="206"/>
  <c r="N16" i="206"/>
  <c r="N25" i="206"/>
  <c r="E18" i="205"/>
  <c r="AE29" i="206"/>
  <c r="AE41" i="206"/>
  <c r="AF55" i="206"/>
  <c r="AF76" i="206"/>
  <c r="F6" i="205"/>
  <c r="AF20" i="206"/>
  <c r="Q5" i="206"/>
  <c r="P12" i="206"/>
  <c r="P17" i="206"/>
  <c r="P26" i="206"/>
  <c r="AF29" i="206"/>
  <c r="AF41" i="206"/>
  <c r="AE50" i="206"/>
  <c r="AE64" i="206"/>
  <c r="AE71" i="206"/>
  <c r="AE78" i="206"/>
  <c r="AF13" i="206"/>
  <c r="AE15" i="206"/>
  <c r="N55" i="206"/>
  <c r="M22" i="206"/>
  <c r="AF15" i="206"/>
  <c r="AD85" i="202"/>
  <c r="Z85" i="202"/>
  <c r="Y85" i="202"/>
  <c r="O85" i="202"/>
  <c r="K85" i="202"/>
  <c r="M13" i="201" s="1"/>
  <c r="AF84" i="202"/>
  <c r="V84" i="202"/>
  <c r="U84" i="202"/>
  <c r="O84" i="202"/>
  <c r="M84" i="202"/>
  <c r="AE84" i="202" s="1"/>
  <c r="K84" i="202"/>
  <c r="G84" i="202"/>
  <c r="V83" i="202"/>
  <c r="U83" i="202"/>
  <c r="O83" i="202"/>
  <c r="N83" i="202"/>
  <c r="M83" i="202"/>
  <c r="K83" i="202"/>
  <c r="G83" i="202"/>
  <c r="AF82" i="202"/>
  <c r="AE82" i="202"/>
  <c r="V82" i="202"/>
  <c r="M82" i="202" s="1"/>
  <c r="N82" i="202" s="1"/>
  <c r="U82" i="202"/>
  <c r="Q82" i="202"/>
  <c r="P82" i="202"/>
  <c r="O82" i="202"/>
  <c r="K82" i="202"/>
  <c r="G82" i="202"/>
  <c r="X81" i="202"/>
  <c r="W81" i="202"/>
  <c r="V81" i="202"/>
  <c r="M81" i="202" s="1"/>
  <c r="U81" i="202"/>
  <c r="O81" i="202"/>
  <c r="N81" i="202"/>
  <c r="K81" i="202"/>
  <c r="G81" i="202"/>
  <c r="AF80" i="202"/>
  <c r="AE80" i="202"/>
  <c r="V80" i="202"/>
  <c r="M80" i="202" s="1"/>
  <c r="N80" i="202" s="1"/>
  <c r="U80" i="202"/>
  <c r="O80" i="202"/>
  <c r="K80" i="202"/>
  <c r="G80" i="202"/>
  <c r="V79" i="202"/>
  <c r="U79" i="202"/>
  <c r="O79" i="202"/>
  <c r="M79" i="202"/>
  <c r="K79" i="202"/>
  <c r="G79" i="202"/>
  <c r="AF78" i="202"/>
  <c r="V78" i="202"/>
  <c r="U78" i="202"/>
  <c r="O78" i="202"/>
  <c r="M78" i="202"/>
  <c r="K78" i="202"/>
  <c r="G78" i="202"/>
  <c r="V77" i="202"/>
  <c r="U77" i="202"/>
  <c r="O77" i="202"/>
  <c r="M77" i="202"/>
  <c r="AF77" i="202" s="1"/>
  <c r="K77" i="202"/>
  <c r="G77" i="202"/>
  <c r="X76" i="202"/>
  <c r="W76" i="202"/>
  <c r="V76" i="202"/>
  <c r="O76" i="202"/>
  <c r="M76" i="202"/>
  <c r="K76" i="202"/>
  <c r="G76" i="202"/>
  <c r="AD75" i="202"/>
  <c r="Z75" i="202"/>
  <c r="Y75" i="202"/>
  <c r="J18" i="201" s="1"/>
  <c r="O75" i="202"/>
  <c r="K75" i="202"/>
  <c r="V74" i="202"/>
  <c r="M74" i="202" s="1"/>
  <c r="U74" i="202"/>
  <c r="O74" i="202"/>
  <c r="K74" i="202"/>
  <c r="G74" i="202"/>
  <c r="V73" i="202"/>
  <c r="M73" i="202" s="1"/>
  <c r="N73" i="202" s="1"/>
  <c r="U73" i="202"/>
  <c r="O73" i="202"/>
  <c r="K73" i="202"/>
  <c r="G73" i="202"/>
  <c r="V72" i="202"/>
  <c r="M72" i="202" s="1"/>
  <c r="U72" i="202"/>
  <c r="O72" i="202"/>
  <c r="K72" i="202"/>
  <c r="G72" i="202"/>
  <c r="V71" i="202"/>
  <c r="O71" i="202"/>
  <c r="M71" i="202"/>
  <c r="K71" i="202"/>
  <c r="G71" i="202"/>
  <c r="AD70" i="202"/>
  <c r="I21" i="201" s="1"/>
  <c r="Z70" i="202"/>
  <c r="I19" i="201" s="1"/>
  <c r="Y70" i="202"/>
  <c r="I18" i="201" s="1"/>
  <c r="O70" i="202"/>
  <c r="K70" i="202"/>
  <c r="V69" i="202"/>
  <c r="U69" i="202"/>
  <c r="O69" i="202"/>
  <c r="M69" i="202"/>
  <c r="K69" i="202"/>
  <c r="G69" i="202"/>
  <c r="X68" i="202"/>
  <c r="W68" i="202"/>
  <c r="V68" i="202"/>
  <c r="M68" i="202" s="1"/>
  <c r="N68" i="202" s="1"/>
  <c r="P68" i="202" s="1"/>
  <c r="U68" i="202"/>
  <c r="Q68" i="202"/>
  <c r="O68" i="202"/>
  <c r="K68" i="202"/>
  <c r="G68" i="202"/>
  <c r="V67" i="202"/>
  <c r="U67" i="202"/>
  <c r="O67" i="202"/>
  <c r="M67" i="202"/>
  <c r="AF67" i="202" s="1"/>
  <c r="K67" i="202"/>
  <c r="G67" i="202"/>
  <c r="AF66" i="202"/>
  <c r="V66" i="202"/>
  <c r="M66" i="202" s="1"/>
  <c r="N66" i="202" s="1"/>
  <c r="U66" i="202"/>
  <c r="O66" i="202"/>
  <c r="K66" i="202"/>
  <c r="G66" i="202"/>
  <c r="V65" i="202"/>
  <c r="M65" i="202" s="1"/>
  <c r="U65" i="202"/>
  <c r="O65" i="202"/>
  <c r="K65" i="202"/>
  <c r="G65" i="202"/>
  <c r="AF64" i="202"/>
  <c r="V64" i="202"/>
  <c r="U64" i="202"/>
  <c r="O64" i="202"/>
  <c r="M64" i="202"/>
  <c r="K64" i="202"/>
  <c r="G64" i="202"/>
  <c r="AF63" i="202"/>
  <c r="AE63" i="202"/>
  <c r="V63" i="202"/>
  <c r="U63" i="202"/>
  <c r="O63" i="202"/>
  <c r="M63" i="202"/>
  <c r="N63" i="202" s="1"/>
  <c r="P63" i="202" s="1"/>
  <c r="K63" i="202"/>
  <c r="G63" i="202"/>
  <c r="V62" i="202"/>
  <c r="U62" i="202"/>
  <c r="O62" i="202"/>
  <c r="M62" i="202"/>
  <c r="N62" i="202" s="1"/>
  <c r="K62" i="202"/>
  <c r="G62" i="202"/>
  <c r="V61" i="202"/>
  <c r="M61" i="202" s="1"/>
  <c r="N61" i="202" s="1"/>
  <c r="Q61" i="202" s="1"/>
  <c r="U61" i="202"/>
  <c r="P61" i="202"/>
  <c r="O61" i="202"/>
  <c r="K61" i="202"/>
  <c r="G61" i="202"/>
  <c r="X60" i="202"/>
  <c r="W60" i="202"/>
  <c r="V60" i="202"/>
  <c r="O60" i="202"/>
  <c r="N60" i="202"/>
  <c r="P60" i="202" s="1"/>
  <c r="M60" i="202"/>
  <c r="K60" i="202"/>
  <c r="G60" i="202"/>
  <c r="AD59" i="202"/>
  <c r="H21" i="201" s="1"/>
  <c r="Z59" i="202"/>
  <c r="Y59" i="202"/>
  <c r="H18" i="201" s="1"/>
  <c r="O59" i="202"/>
  <c r="K59" i="202"/>
  <c r="V58" i="202"/>
  <c r="U58" i="202"/>
  <c r="O58" i="202"/>
  <c r="M58" i="202"/>
  <c r="AF58" i="202" s="1"/>
  <c r="K58" i="202"/>
  <c r="G58" i="202"/>
  <c r="V57" i="202"/>
  <c r="U57" i="202"/>
  <c r="O57" i="202"/>
  <c r="M57" i="202"/>
  <c r="AF57" i="202" s="1"/>
  <c r="K57" i="202"/>
  <c r="G57" i="202"/>
  <c r="AF56" i="202"/>
  <c r="V56" i="202"/>
  <c r="U56" i="202"/>
  <c r="O56" i="202"/>
  <c r="M56" i="202"/>
  <c r="AE56" i="202" s="1"/>
  <c r="K56" i="202"/>
  <c r="G56" i="202"/>
  <c r="V55" i="202"/>
  <c r="U55" i="202"/>
  <c r="O55" i="202"/>
  <c r="M55" i="202"/>
  <c r="N55" i="202" s="1"/>
  <c r="K55" i="202"/>
  <c r="G55" i="202"/>
  <c r="AF54" i="202"/>
  <c r="AE54" i="202"/>
  <c r="V54" i="202"/>
  <c r="M54" i="202" s="1"/>
  <c r="O54" i="202"/>
  <c r="K54" i="202"/>
  <c r="G54" i="202"/>
  <c r="AD53" i="202"/>
  <c r="Z53" i="202"/>
  <c r="L19" i="201" s="1"/>
  <c r="Y53" i="202"/>
  <c r="L18" i="201" s="1"/>
  <c r="O53" i="202"/>
  <c r="K53" i="202"/>
  <c r="L13" i="201" s="1"/>
  <c r="V52" i="202"/>
  <c r="M52" i="202" s="1"/>
  <c r="U52" i="202"/>
  <c r="O52" i="202"/>
  <c r="K52" i="202"/>
  <c r="G52" i="202"/>
  <c r="V51" i="202"/>
  <c r="U51" i="202"/>
  <c r="O51" i="202"/>
  <c r="N51" i="202"/>
  <c r="P51" i="202" s="1"/>
  <c r="M51" i="202"/>
  <c r="AF51" i="202" s="1"/>
  <c r="K51" i="202"/>
  <c r="G51" i="202"/>
  <c r="V50" i="202"/>
  <c r="M50" i="202" s="1"/>
  <c r="N50" i="202" s="1"/>
  <c r="U50" i="202"/>
  <c r="O50" i="202"/>
  <c r="K50" i="202"/>
  <c r="G50" i="202"/>
  <c r="V49" i="202"/>
  <c r="U49" i="202"/>
  <c r="O49" i="202"/>
  <c r="M49" i="202"/>
  <c r="AF49" i="202" s="1"/>
  <c r="K49" i="202"/>
  <c r="G49" i="202"/>
  <c r="V48" i="202"/>
  <c r="U48" i="202"/>
  <c r="O48" i="202"/>
  <c r="M48" i="202"/>
  <c r="AF48" i="202" s="1"/>
  <c r="K48" i="202"/>
  <c r="G48" i="202"/>
  <c r="AF47" i="202"/>
  <c r="X47" i="202"/>
  <c r="W47" i="202"/>
  <c r="V47" i="202"/>
  <c r="M47" i="202" s="1"/>
  <c r="AE47" i="202" s="1"/>
  <c r="U47" i="202"/>
  <c r="O47" i="202"/>
  <c r="N47" i="202"/>
  <c r="Q47" i="202" s="1"/>
  <c r="K47" i="202"/>
  <c r="G47" i="202"/>
  <c r="V46" i="202"/>
  <c r="U46" i="202"/>
  <c r="O46" i="202"/>
  <c r="N46" i="202"/>
  <c r="M46" i="202"/>
  <c r="K46" i="202"/>
  <c r="G46" i="202"/>
  <c r="AF45" i="202"/>
  <c r="V45" i="202"/>
  <c r="M45" i="202" s="1"/>
  <c r="N45" i="202" s="1"/>
  <c r="P45" i="202" s="1"/>
  <c r="U45" i="202"/>
  <c r="Q45" i="202"/>
  <c r="O45" i="202"/>
  <c r="K45" i="202"/>
  <c r="G45" i="202"/>
  <c r="V44" i="202"/>
  <c r="U44" i="202"/>
  <c r="O44" i="202"/>
  <c r="M44" i="202"/>
  <c r="K44" i="202"/>
  <c r="G44" i="202"/>
  <c r="AF43" i="202"/>
  <c r="AE43" i="202"/>
  <c r="X43" i="202"/>
  <c r="W43" i="202"/>
  <c r="V43" i="202"/>
  <c r="O43" i="202"/>
  <c r="M43" i="202"/>
  <c r="N43" i="202" s="1"/>
  <c r="K43" i="202"/>
  <c r="G43" i="202"/>
  <c r="AD42" i="202"/>
  <c r="Z42" i="202"/>
  <c r="Y42" i="202"/>
  <c r="K18" i="201" s="1"/>
  <c r="O42" i="202"/>
  <c r="K42" i="202"/>
  <c r="V41" i="202"/>
  <c r="U41" i="202"/>
  <c r="O41" i="202"/>
  <c r="M41" i="202"/>
  <c r="N41" i="202" s="1"/>
  <c r="K41" i="202"/>
  <c r="G41" i="202"/>
  <c r="V40" i="202"/>
  <c r="M40" i="202" s="1"/>
  <c r="AE40" i="202" s="1"/>
  <c r="U40" i="202"/>
  <c r="O40" i="202"/>
  <c r="N40" i="202"/>
  <c r="Q40" i="202" s="1"/>
  <c r="K40" i="202"/>
  <c r="G40" i="202"/>
  <c r="V39" i="202"/>
  <c r="U39" i="202"/>
  <c r="Q39" i="202"/>
  <c r="O39" i="202"/>
  <c r="M39" i="202"/>
  <c r="N39" i="202" s="1"/>
  <c r="P39" i="202" s="1"/>
  <c r="K39" i="202"/>
  <c r="G39" i="202"/>
  <c r="V38" i="202"/>
  <c r="M38" i="202" s="1"/>
  <c r="N38" i="202" s="1"/>
  <c r="P38" i="202" s="1"/>
  <c r="U38" i="202"/>
  <c r="Q38" i="202"/>
  <c r="O38" i="202"/>
  <c r="K38" i="202"/>
  <c r="G38" i="202"/>
  <c r="X37" i="202"/>
  <c r="W37" i="202"/>
  <c r="V37" i="202"/>
  <c r="U37" i="202"/>
  <c r="O37" i="202"/>
  <c r="M37" i="202"/>
  <c r="K37" i="202"/>
  <c r="G37" i="202"/>
  <c r="V36" i="202"/>
  <c r="U36" i="202"/>
  <c r="O36" i="202"/>
  <c r="M36" i="202"/>
  <c r="N36" i="202" s="1"/>
  <c r="K36" i="202"/>
  <c r="G36" i="202"/>
  <c r="V35" i="202"/>
  <c r="M35" i="202" s="1"/>
  <c r="U35" i="202"/>
  <c r="O35" i="202"/>
  <c r="K35" i="202"/>
  <c r="G35" i="202"/>
  <c r="V34" i="202"/>
  <c r="U34" i="202"/>
  <c r="O34" i="202"/>
  <c r="M34" i="202"/>
  <c r="K34" i="202"/>
  <c r="G34" i="202"/>
  <c r="AF33" i="202"/>
  <c r="AE33" i="202"/>
  <c r="X33" i="202"/>
  <c r="W33" i="202"/>
  <c r="V33" i="202"/>
  <c r="M33" i="202" s="1"/>
  <c r="N33" i="202" s="1"/>
  <c r="Q33" i="202"/>
  <c r="P33" i="202"/>
  <c r="O33" i="202"/>
  <c r="K33" i="202"/>
  <c r="G33" i="202"/>
  <c r="AD32" i="202"/>
  <c r="Z32" i="202"/>
  <c r="Y32" i="202"/>
  <c r="G18" i="201" s="1"/>
  <c r="O32" i="202"/>
  <c r="K32" i="202"/>
  <c r="G13" i="201" s="1"/>
  <c r="V31" i="202"/>
  <c r="M31" i="202" s="1"/>
  <c r="N31" i="202" s="1"/>
  <c r="U31" i="202"/>
  <c r="O31" i="202"/>
  <c r="K31" i="202"/>
  <c r="G31" i="202"/>
  <c r="X30" i="202"/>
  <c r="W30" i="202"/>
  <c r="V30" i="202"/>
  <c r="U30" i="202"/>
  <c r="O30" i="202"/>
  <c r="N30" i="202"/>
  <c r="P30" i="202" s="1"/>
  <c r="M30" i="202"/>
  <c r="AF30" i="202" s="1"/>
  <c r="K30" i="202"/>
  <c r="G30" i="202"/>
  <c r="V29" i="202"/>
  <c r="U29" i="202"/>
  <c r="O29" i="202"/>
  <c r="M29" i="202"/>
  <c r="K29" i="202"/>
  <c r="G29" i="202"/>
  <c r="V28" i="202"/>
  <c r="U28" i="202"/>
  <c r="O28" i="202"/>
  <c r="M28" i="202"/>
  <c r="AF28" i="202" s="1"/>
  <c r="K28" i="202"/>
  <c r="G28" i="202"/>
  <c r="V27" i="202"/>
  <c r="U27" i="202"/>
  <c r="O27" i="202"/>
  <c r="M27" i="202"/>
  <c r="K27" i="202"/>
  <c r="G27" i="202"/>
  <c r="V26" i="202"/>
  <c r="M26" i="202" s="1"/>
  <c r="N26" i="202" s="1"/>
  <c r="Q26" i="202" s="1"/>
  <c r="U26" i="202"/>
  <c r="O26" i="202"/>
  <c r="K26" i="202"/>
  <c r="G26" i="202"/>
  <c r="V25" i="202"/>
  <c r="M25" i="202" s="1"/>
  <c r="O25" i="202"/>
  <c r="K25" i="202"/>
  <c r="G25" i="202"/>
  <c r="AD24" i="202"/>
  <c r="Z24" i="202"/>
  <c r="Y24" i="202"/>
  <c r="O24" i="202"/>
  <c r="K24" i="202"/>
  <c r="V23" i="202"/>
  <c r="U23" i="202"/>
  <c r="O23" i="202"/>
  <c r="M23" i="202"/>
  <c r="AE23" i="202" s="1"/>
  <c r="K23" i="202"/>
  <c r="G23" i="202"/>
  <c r="AF22" i="202"/>
  <c r="AE22" i="202"/>
  <c r="X22" i="202"/>
  <c r="W22" i="202"/>
  <c r="V22" i="202"/>
  <c r="U22" i="202"/>
  <c r="O22" i="202"/>
  <c r="M22" i="202"/>
  <c r="N22" i="202" s="1"/>
  <c r="K22" i="202"/>
  <c r="G22" i="202"/>
  <c r="V21" i="202"/>
  <c r="M21" i="202" s="1"/>
  <c r="U21" i="202"/>
  <c r="O21" i="202"/>
  <c r="K21" i="202"/>
  <c r="G21" i="202"/>
  <c r="V20" i="202"/>
  <c r="U20" i="202"/>
  <c r="O20" i="202"/>
  <c r="M20" i="202"/>
  <c r="K20" i="202"/>
  <c r="G20" i="202"/>
  <c r="AF19" i="202"/>
  <c r="AE19" i="202"/>
  <c r="V19" i="202"/>
  <c r="M19" i="202" s="1"/>
  <c r="N19" i="202" s="1"/>
  <c r="U19" i="202"/>
  <c r="Q19" i="202"/>
  <c r="P19" i="202"/>
  <c r="O19" i="202"/>
  <c r="K19" i="202"/>
  <c r="G19" i="202"/>
  <c r="V18" i="202"/>
  <c r="M18" i="202" s="1"/>
  <c r="U18" i="202"/>
  <c r="O18" i="202"/>
  <c r="K18" i="202"/>
  <c r="G18" i="202"/>
  <c r="V17" i="202"/>
  <c r="M17" i="202" s="1"/>
  <c r="N17" i="202" s="1"/>
  <c r="P17" i="202" s="1"/>
  <c r="U17" i="202"/>
  <c r="O17" i="202"/>
  <c r="K17" i="202"/>
  <c r="G17" i="202"/>
  <c r="X16" i="202"/>
  <c r="W16" i="202"/>
  <c r="V16" i="202"/>
  <c r="M16" i="202" s="1"/>
  <c r="O16" i="202"/>
  <c r="K16" i="202"/>
  <c r="G16" i="202"/>
  <c r="AD15" i="202"/>
  <c r="Z15" i="202"/>
  <c r="Y15" i="202"/>
  <c r="O15" i="202"/>
  <c r="K15" i="202"/>
  <c r="E13" i="201" s="1"/>
  <c r="V14" i="202"/>
  <c r="M14" i="202" s="1"/>
  <c r="U14" i="202"/>
  <c r="O14" i="202"/>
  <c r="K14" i="202"/>
  <c r="G14" i="202"/>
  <c r="X13" i="202"/>
  <c r="W13" i="202"/>
  <c r="V13" i="202"/>
  <c r="U13" i="202"/>
  <c r="O13" i="202"/>
  <c r="M13" i="202"/>
  <c r="K13" i="202"/>
  <c r="G13" i="202"/>
  <c r="AF12" i="202"/>
  <c r="AE12" i="202"/>
  <c r="V12" i="202"/>
  <c r="M12" i="202" s="1"/>
  <c r="N12" i="202" s="1"/>
  <c r="P12" i="202" s="1"/>
  <c r="U12" i="202"/>
  <c r="Q12" i="202"/>
  <c r="O12" i="202"/>
  <c r="K12" i="202"/>
  <c r="G12" i="202"/>
  <c r="V11" i="202"/>
  <c r="U11" i="202"/>
  <c r="O11" i="202"/>
  <c r="M11" i="202"/>
  <c r="AE11" i="202" s="1"/>
  <c r="K11" i="202"/>
  <c r="G11" i="202"/>
  <c r="AF10" i="202"/>
  <c r="AE10" i="202"/>
  <c r="X10" i="202"/>
  <c r="W10" i="202"/>
  <c r="V10" i="202"/>
  <c r="O10" i="202"/>
  <c r="M10" i="202"/>
  <c r="N10" i="202" s="1"/>
  <c r="K10" i="202"/>
  <c r="G10" i="202"/>
  <c r="AD9" i="202"/>
  <c r="AD2" i="202" s="1"/>
  <c r="N6" i="201" s="1"/>
  <c r="Z9" i="202"/>
  <c r="D19" i="201" s="1"/>
  <c r="Y9" i="202"/>
  <c r="D18" i="201" s="1"/>
  <c r="O9" i="202"/>
  <c r="K9" i="202"/>
  <c r="V8" i="202"/>
  <c r="U8" i="202"/>
  <c r="O8" i="202"/>
  <c r="N8" i="202"/>
  <c r="Q8" i="202" s="1"/>
  <c r="M8" i="202"/>
  <c r="K8" i="202"/>
  <c r="G8" i="202"/>
  <c r="AF7" i="202"/>
  <c r="AE7" i="202"/>
  <c r="X7" i="202"/>
  <c r="W7" i="202"/>
  <c r="V7" i="202"/>
  <c r="M7" i="202" s="1"/>
  <c r="N7" i="202" s="1"/>
  <c r="P7" i="202" s="1"/>
  <c r="U7" i="202"/>
  <c r="Q7" i="202"/>
  <c r="O7" i="202"/>
  <c r="K7" i="202"/>
  <c r="G7" i="202"/>
  <c r="V6" i="202"/>
  <c r="M6" i="202" s="1"/>
  <c r="N6" i="202" s="1"/>
  <c r="U6" i="202"/>
  <c r="O6" i="202"/>
  <c r="K6" i="202"/>
  <c r="G6" i="202"/>
  <c r="V5" i="202"/>
  <c r="O5" i="202"/>
  <c r="M5" i="202"/>
  <c r="AF5" i="202" s="1"/>
  <c r="K5" i="202"/>
  <c r="G5" i="202"/>
  <c r="Z2" i="202"/>
  <c r="L6" i="201" s="1"/>
  <c r="Y2" i="202"/>
  <c r="K6" i="201" s="1"/>
  <c r="H2" i="202"/>
  <c r="H1" i="202"/>
  <c r="D1" i="202"/>
  <c r="M22" i="201"/>
  <c r="L22" i="201"/>
  <c r="K22" i="201"/>
  <c r="J22" i="201"/>
  <c r="I22" i="201"/>
  <c r="H22" i="201"/>
  <c r="G22" i="201"/>
  <c r="F22" i="201"/>
  <c r="E22" i="201"/>
  <c r="D22" i="201"/>
  <c r="M21" i="201"/>
  <c r="L21" i="201"/>
  <c r="K21" i="201"/>
  <c r="J21" i="201"/>
  <c r="G21" i="201"/>
  <c r="F21" i="201"/>
  <c r="E21" i="201"/>
  <c r="M20" i="201"/>
  <c r="L20" i="201"/>
  <c r="K20" i="201"/>
  <c r="J20" i="201"/>
  <c r="I20" i="201"/>
  <c r="H20" i="201"/>
  <c r="G20" i="201"/>
  <c r="F20" i="201"/>
  <c r="E20" i="201"/>
  <c r="D20" i="201"/>
  <c r="M19" i="201"/>
  <c r="K19" i="201"/>
  <c r="J19" i="201"/>
  <c r="H19" i="201"/>
  <c r="G19" i="201"/>
  <c r="F19" i="201"/>
  <c r="E19" i="201"/>
  <c r="M18" i="201"/>
  <c r="F18" i="201"/>
  <c r="E18" i="201"/>
  <c r="M17" i="201"/>
  <c r="L17" i="201"/>
  <c r="K17" i="201"/>
  <c r="J17" i="201"/>
  <c r="I17" i="201"/>
  <c r="H17" i="201"/>
  <c r="G17" i="201"/>
  <c r="F17" i="201"/>
  <c r="E17" i="201"/>
  <c r="D17" i="201"/>
  <c r="M16" i="201"/>
  <c r="L16" i="201"/>
  <c r="K16" i="201"/>
  <c r="J16" i="201"/>
  <c r="I16" i="201"/>
  <c r="H16" i="201"/>
  <c r="G16" i="201"/>
  <c r="F16" i="201"/>
  <c r="E16" i="201"/>
  <c r="D16" i="201"/>
  <c r="K13" i="201"/>
  <c r="I6" i="201" s="1"/>
  <c r="J13" i="201"/>
  <c r="I13" i="201"/>
  <c r="H13" i="201"/>
  <c r="F13" i="201"/>
  <c r="D13" i="201"/>
  <c r="M6" i="201"/>
  <c r="F3" i="201"/>
  <c r="C3" i="201"/>
  <c r="Q29" i="208" l="1"/>
  <c r="R23" i="208" s="1"/>
  <c r="P29" i="208"/>
  <c r="G14" i="207"/>
  <c r="G15" i="207" s="1"/>
  <c r="Q51" i="208"/>
  <c r="R47" i="208" s="1"/>
  <c r="P51" i="208"/>
  <c r="H14" i="207"/>
  <c r="H15" i="207" s="1"/>
  <c r="F14" i="207"/>
  <c r="F15" i="207" s="1"/>
  <c r="P22" i="208"/>
  <c r="Q22" i="208"/>
  <c r="R15" i="208" s="1"/>
  <c r="Q76" i="208"/>
  <c r="R67" i="208" s="1"/>
  <c r="P76" i="208"/>
  <c r="M14" i="207"/>
  <c r="M15" i="207" s="1"/>
  <c r="Q8" i="208"/>
  <c r="R5" i="208" s="1"/>
  <c r="P8" i="208"/>
  <c r="D14" i="207"/>
  <c r="D2" i="208"/>
  <c r="Q66" i="208"/>
  <c r="R62" i="208" s="1"/>
  <c r="P66" i="208"/>
  <c r="J14" i="207"/>
  <c r="J15" i="207" s="1"/>
  <c r="K14" i="207"/>
  <c r="Q39" i="208"/>
  <c r="R30" i="208" s="1"/>
  <c r="P39" i="208"/>
  <c r="L14" i="207"/>
  <c r="L15" i="207" s="1"/>
  <c r="Q46" i="208"/>
  <c r="R40" i="208" s="1"/>
  <c r="P46" i="208"/>
  <c r="Q64" i="206"/>
  <c r="P64" i="206"/>
  <c r="P10" i="206"/>
  <c r="Q10" i="206"/>
  <c r="Q45" i="206"/>
  <c r="P45" i="206"/>
  <c r="N39" i="206"/>
  <c r="AF39" i="206"/>
  <c r="AG31" i="206" s="1"/>
  <c r="AE39" i="206"/>
  <c r="Q50" i="206"/>
  <c r="P50" i="206"/>
  <c r="Q75" i="206"/>
  <c r="P75" i="206"/>
  <c r="AE65" i="206"/>
  <c r="AF65" i="206"/>
  <c r="AG55" i="206" s="1"/>
  <c r="N65" i="206"/>
  <c r="Q51" i="206"/>
  <c r="P51" i="206"/>
  <c r="P63" i="206"/>
  <c r="Q63" i="206"/>
  <c r="Q23" i="206"/>
  <c r="P23" i="206"/>
  <c r="N30" i="206"/>
  <c r="AF30" i="206"/>
  <c r="AG23" i="206" s="1"/>
  <c r="AE30" i="206"/>
  <c r="Q7" i="206"/>
  <c r="P7" i="206"/>
  <c r="Q9" i="206"/>
  <c r="P9" i="206"/>
  <c r="Q35" i="206"/>
  <c r="P35" i="206"/>
  <c r="Q73" i="206"/>
  <c r="P73" i="206"/>
  <c r="Q72" i="206"/>
  <c r="P72" i="206"/>
  <c r="N49" i="206"/>
  <c r="AF49" i="206"/>
  <c r="AG40" i="206" s="1"/>
  <c r="AE49" i="206"/>
  <c r="Q55" i="206"/>
  <c r="P55" i="206"/>
  <c r="Q16" i="206"/>
  <c r="P16" i="206"/>
  <c r="P79" i="206"/>
  <c r="Q79" i="206"/>
  <c r="Q43" i="206"/>
  <c r="P43" i="206"/>
  <c r="Q68" i="206"/>
  <c r="P68" i="206"/>
  <c r="Q56" i="206"/>
  <c r="P56" i="206"/>
  <c r="Q66" i="206"/>
  <c r="P66" i="206"/>
  <c r="Q31" i="206"/>
  <c r="P31" i="206"/>
  <c r="N70" i="206"/>
  <c r="AE70" i="206"/>
  <c r="AF70" i="206"/>
  <c r="AG66" i="206" s="1"/>
  <c r="Q71" i="206"/>
  <c r="P71" i="206"/>
  <c r="Q48" i="206"/>
  <c r="P48" i="206"/>
  <c r="Q28" i="206"/>
  <c r="P28" i="206"/>
  <c r="Q58" i="206"/>
  <c r="P58" i="206"/>
  <c r="Q42" i="206"/>
  <c r="P42" i="206"/>
  <c r="Q37" i="206"/>
  <c r="P37" i="206"/>
  <c r="Q33" i="206"/>
  <c r="P33" i="206"/>
  <c r="Q40" i="206"/>
  <c r="P40" i="206"/>
  <c r="P25" i="206"/>
  <c r="Q25" i="206"/>
  <c r="N14" i="206"/>
  <c r="AF14" i="206"/>
  <c r="AG9" i="206" s="1"/>
  <c r="AE14" i="206"/>
  <c r="Q36" i="206"/>
  <c r="P36" i="206"/>
  <c r="Q21" i="206"/>
  <c r="P21" i="206"/>
  <c r="Q59" i="206"/>
  <c r="P59" i="206"/>
  <c r="Q6" i="206"/>
  <c r="P6" i="206"/>
  <c r="Q78" i="206"/>
  <c r="P78" i="206"/>
  <c r="Q61" i="206"/>
  <c r="P61" i="206"/>
  <c r="AE22" i="206"/>
  <c r="AF22" i="206"/>
  <c r="AG15" i="206" s="1"/>
  <c r="N22" i="206"/>
  <c r="Q57" i="206"/>
  <c r="P57" i="206"/>
  <c r="Q8" i="206"/>
  <c r="R5" i="206" s="1"/>
  <c r="P8" i="206"/>
  <c r="D2" i="206"/>
  <c r="D14" i="205"/>
  <c r="Q11" i="206"/>
  <c r="P11" i="206"/>
  <c r="Q19" i="206"/>
  <c r="P19" i="206"/>
  <c r="AF80" i="206"/>
  <c r="AG71" i="206" s="1"/>
  <c r="AE80" i="206"/>
  <c r="N80" i="206"/>
  <c r="Q24" i="206"/>
  <c r="P24" i="206"/>
  <c r="Q77" i="206"/>
  <c r="P77" i="206"/>
  <c r="P47" i="206"/>
  <c r="Q47" i="206"/>
  <c r="N54" i="206"/>
  <c r="AF54" i="206"/>
  <c r="AG50" i="206" s="1"/>
  <c r="AE54" i="206"/>
  <c r="Q55" i="202"/>
  <c r="P55" i="202"/>
  <c r="AF14" i="202"/>
  <c r="N14" i="202"/>
  <c r="AF6" i="202"/>
  <c r="AF25" i="202"/>
  <c r="AE25" i="202"/>
  <c r="N25" i="202"/>
  <c r="M32" i="202"/>
  <c r="AF29" i="202"/>
  <c r="AE29" i="202"/>
  <c r="N29" i="202"/>
  <c r="N52" i="202"/>
  <c r="AE52" i="202"/>
  <c r="AF52" i="202"/>
  <c r="M53" i="202"/>
  <c r="N79" i="202"/>
  <c r="AF79" i="202"/>
  <c r="AE79" i="202"/>
  <c r="N35" i="202"/>
  <c r="AE35" i="202"/>
  <c r="AF35" i="202"/>
  <c r="Q63" i="202"/>
  <c r="AF81" i="202"/>
  <c r="AE81" i="202"/>
  <c r="N72" i="202"/>
  <c r="AF72" i="202"/>
  <c r="AE72" i="202"/>
  <c r="Q6" i="202"/>
  <c r="P6" i="202"/>
  <c r="AE6" i="202"/>
  <c r="Q83" i="202"/>
  <c r="P83" i="202"/>
  <c r="Q62" i="202"/>
  <c r="P62" i="202"/>
  <c r="AF65" i="202"/>
  <c r="N65" i="202"/>
  <c r="F1" i="202"/>
  <c r="AF13" i="202"/>
  <c r="AE13" i="202"/>
  <c r="N13" i="202"/>
  <c r="M24" i="202"/>
  <c r="AE16" i="202"/>
  <c r="AF16" i="202"/>
  <c r="N16" i="202"/>
  <c r="Q41" i="202"/>
  <c r="P41" i="202"/>
  <c r="AE65" i="202"/>
  <c r="AF27" i="202"/>
  <c r="AE27" i="202"/>
  <c r="N27" i="202"/>
  <c r="M42" i="202"/>
  <c r="AE14" i="202"/>
  <c r="AE18" i="202"/>
  <c r="AF18" i="202"/>
  <c r="N18" i="202"/>
  <c r="N21" i="202"/>
  <c r="AE21" i="202"/>
  <c r="AF21" i="202"/>
  <c r="Q43" i="202"/>
  <c r="P43" i="202"/>
  <c r="AF74" i="202"/>
  <c r="AE74" i="202"/>
  <c r="N74" i="202"/>
  <c r="Q22" i="202"/>
  <c r="P22" i="202"/>
  <c r="P81" i="202"/>
  <c r="Q81" i="202"/>
  <c r="P10" i="202"/>
  <c r="Q10" i="202"/>
  <c r="P46" i="202"/>
  <c r="F6" i="201"/>
  <c r="P40" i="202"/>
  <c r="AE64" i="202"/>
  <c r="N64" i="202"/>
  <c r="Q66" i="202"/>
  <c r="P66" i="202"/>
  <c r="AE5" i="202"/>
  <c r="Q17" i="202"/>
  <c r="Q36" i="202"/>
  <c r="P36" i="202"/>
  <c r="M70" i="202"/>
  <c r="AF60" i="202"/>
  <c r="AE60" i="202"/>
  <c r="AE66" i="202"/>
  <c r="AE68" i="202"/>
  <c r="N84" i="202"/>
  <c r="Q30" i="202"/>
  <c r="AF34" i="202"/>
  <c r="AE34" i="202"/>
  <c r="AF71" i="202"/>
  <c r="AE71" i="202"/>
  <c r="M75" i="202"/>
  <c r="Q73" i="202"/>
  <c r="P73" i="202"/>
  <c r="AE77" i="202"/>
  <c r="AF11" i="202"/>
  <c r="AF17" i="202"/>
  <c r="AF23" i="202"/>
  <c r="AE36" i="202"/>
  <c r="AE38" i="202"/>
  <c r="AF40" i="202"/>
  <c r="Q51" i="202"/>
  <c r="Q60" i="202"/>
  <c r="AF69" i="202"/>
  <c r="AE69" i="202"/>
  <c r="AF73" i="202"/>
  <c r="AF76" i="202"/>
  <c r="AE76" i="202"/>
  <c r="AF20" i="202"/>
  <c r="AE20" i="202"/>
  <c r="P26" i="202"/>
  <c r="AF36" i="202"/>
  <c r="AF38" i="202"/>
  <c r="P47" i="202"/>
  <c r="N56" i="202"/>
  <c r="N67" i="202"/>
  <c r="N69" i="202"/>
  <c r="N76" i="202"/>
  <c r="D21" i="201"/>
  <c r="AF8" i="202"/>
  <c r="AE8" i="202"/>
  <c r="N20" i="202"/>
  <c r="AE78" i="202"/>
  <c r="N78" i="202"/>
  <c r="Q80" i="202"/>
  <c r="P80" i="202"/>
  <c r="Q50" i="202"/>
  <c r="P50" i="202"/>
  <c r="AE57" i="202"/>
  <c r="N57" i="202"/>
  <c r="N77" i="202"/>
  <c r="Q46" i="202"/>
  <c r="AF61" i="202"/>
  <c r="M9" i="202"/>
  <c r="N5" i="202"/>
  <c r="N11" i="202"/>
  <c r="N23" i="202"/>
  <c r="AF31" i="202"/>
  <c r="N44" i="202"/>
  <c r="AF50" i="202"/>
  <c r="AF55" i="202"/>
  <c r="AE55" i="202"/>
  <c r="AE61" i="202"/>
  <c r="E6" i="201"/>
  <c r="AF37" i="202"/>
  <c r="AE37" i="202"/>
  <c r="G6" i="201"/>
  <c r="AE28" i="202"/>
  <c r="AE30" i="202"/>
  <c r="N37" i="202"/>
  <c r="AE49" i="202"/>
  <c r="AE58" i="202"/>
  <c r="M85" i="202"/>
  <c r="Q31" i="202"/>
  <c r="P31" i="202"/>
  <c r="AE48" i="202"/>
  <c r="N48" i="202"/>
  <c r="M15" i="202"/>
  <c r="AE31" i="202"/>
  <c r="AF44" i="202"/>
  <c r="AE44" i="202"/>
  <c r="AE50" i="202"/>
  <c r="AF62" i="202"/>
  <c r="AE62" i="202"/>
  <c r="AF68" i="202"/>
  <c r="AE17" i="202"/>
  <c r="N28" i="202"/>
  <c r="N34" i="202"/>
  <c r="N49" i="202"/>
  <c r="N58" i="202"/>
  <c r="N71" i="202"/>
  <c r="AE73" i="202"/>
  <c r="AF41" i="202"/>
  <c r="AE41" i="202"/>
  <c r="AE51" i="202"/>
  <c r="AF39" i="202"/>
  <c r="AE39" i="202"/>
  <c r="P8" i="202"/>
  <c r="AE26" i="202"/>
  <c r="AF26" i="202"/>
  <c r="AE45" i="202"/>
  <c r="N54" i="202"/>
  <c r="M59" i="202"/>
  <c r="AE67" i="202"/>
  <c r="AF83" i="202"/>
  <c r="AE83" i="202"/>
  <c r="AF46" i="202"/>
  <c r="AE46" i="202"/>
  <c r="AD80" i="200"/>
  <c r="Z80" i="200"/>
  <c r="Y80" i="200"/>
  <c r="M18" i="199" s="1"/>
  <c r="O80" i="200"/>
  <c r="K80" i="200"/>
  <c r="AF79" i="200"/>
  <c r="AE79" i="200"/>
  <c r="V79" i="200"/>
  <c r="U79" i="200"/>
  <c r="O79" i="200"/>
  <c r="N79" i="200"/>
  <c r="Q79" i="200" s="1"/>
  <c r="M79" i="200"/>
  <c r="K79" i="200"/>
  <c r="G79" i="200"/>
  <c r="V78" i="200"/>
  <c r="U78" i="200"/>
  <c r="O78" i="200"/>
  <c r="M78" i="200"/>
  <c r="AF78" i="200" s="1"/>
  <c r="K78" i="200"/>
  <c r="G78" i="200"/>
  <c r="AF77" i="200"/>
  <c r="AE77" i="200"/>
  <c r="V77" i="200"/>
  <c r="M77" i="200" s="1"/>
  <c r="N77" i="200" s="1"/>
  <c r="U77" i="200"/>
  <c r="Q77" i="200"/>
  <c r="P77" i="200"/>
  <c r="O77" i="200"/>
  <c r="K77" i="200"/>
  <c r="G77" i="200"/>
  <c r="X76" i="200"/>
  <c r="W76" i="200"/>
  <c r="V76" i="200"/>
  <c r="U76" i="200"/>
  <c r="O76" i="200"/>
  <c r="N76" i="200"/>
  <c r="Q76" i="200" s="1"/>
  <c r="M76" i="200"/>
  <c r="K76" i="200"/>
  <c r="G76" i="200"/>
  <c r="AF75" i="200"/>
  <c r="AE75" i="200"/>
  <c r="V75" i="200"/>
  <c r="M75" i="200" s="1"/>
  <c r="N75" i="200" s="1"/>
  <c r="U75" i="200"/>
  <c r="O75" i="200"/>
  <c r="K75" i="200"/>
  <c r="G75" i="200"/>
  <c r="V74" i="200"/>
  <c r="U74" i="200"/>
  <c r="O74" i="200"/>
  <c r="N74" i="200"/>
  <c r="Q74" i="200" s="1"/>
  <c r="M74" i="200"/>
  <c r="K74" i="200"/>
  <c r="G74" i="200"/>
  <c r="AF73" i="200"/>
  <c r="V73" i="200"/>
  <c r="U73" i="200"/>
  <c r="O73" i="200"/>
  <c r="M73" i="200"/>
  <c r="AE73" i="200" s="1"/>
  <c r="K73" i="200"/>
  <c r="G73" i="200"/>
  <c r="AF72" i="200"/>
  <c r="AE72" i="200"/>
  <c r="X72" i="200"/>
  <c r="W72" i="200"/>
  <c r="V72" i="200"/>
  <c r="M72" i="200" s="1"/>
  <c r="O72" i="200"/>
  <c r="K72" i="200"/>
  <c r="G72" i="200"/>
  <c r="AD71" i="200"/>
  <c r="Z71" i="200"/>
  <c r="Y71" i="200"/>
  <c r="J18" i="199" s="1"/>
  <c r="O71" i="200"/>
  <c r="N71" i="200"/>
  <c r="M71" i="200"/>
  <c r="K71" i="200"/>
  <c r="AF70" i="200"/>
  <c r="AE70" i="200"/>
  <c r="V70" i="200"/>
  <c r="M70" i="200" s="1"/>
  <c r="N70" i="200" s="1"/>
  <c r="P70" i="200" s="1"/>
  <c r="U70" i="200"/>
  <c r="Q70" i="200"/>
  <c r="O70" i="200"/>
  <c r="K70" i="200"/>
  <c r="G70" i="200"/>
  <c r="V69" i="200"/>
  <c r="U69" i="200"/>
  <c r="P69" i="200"/>
  <c r="O69" i="200"/>
  <c r="N69" i="200"/>
  <c r="Q69" i="200" s="1"/>
  <c r="M69" i="200"/>
  <c r="K69" i="200"/>
  <c r="G69" i="200"/>
  <c r="AF68" i="200"/>
  <c r="AE68" i="200"/>
  <c r="V68" i="200"/>
  <c r="M68" i="200" s="1"/>
  <c r="N68" i="200" s="1"/>
  <c r="U68" i="200"/>
  <c r="O68" i="200"/>
  <c r="K68" i="200"/>
  <c r="G68" i="200"/>
  <c r="V67" i="200"/>
  <c r="Q67" i="200"/>
  <c r="O67" i="200"/>
  <c r="N67" i="200"/>
  <c r="P67" i="200" s="1"/>
  <c r="M67" i="200"/>
  <c r="K67" i="200"/>
  <c r="G67" i="200"/>
  <c r="AD66" i="200"/>
  <c r="Z66" i="200"/>
  <c r="Y66" i="200"/>
  <c r="O66" i="200"/>
  <c r="K66" i="200"/>
  <c r="AF65" i="200"/>
  <c r="AE65" i="200"/>
  <c r="V65" i="200"/>
  <c r="U65" i="200"/>
  <c r="O65" i="200"/>
  <c r="N65" i="200"/>
  <c r="P65" i="200" s="1"/>
  <c r="M65" i="200"/>
  <c r="K65" i="200"/>
  <c r="G65" i="200"/>
  <c r="X64" i="200"/>
  <c r="W64" i="200"/>
  <c r="V64" i="200"/>
  <c r="U64" i="200"/>
  <c r="O64" i="200"/>
  <c r="N64" i="200"/>
  <c r="M64" i="200"/>
  <c r="K64" i="200"/>
  <c r="G64" i="200"/>
  <c r="AF63" i="200"/>
  <c r="AE63" i="200"/>
  <c r="V63" i="200"/>
  <c r="M63" i="200" s="1"/>
  <c r="N63" i="200" s="1"/>
  <c r="P63" i="200" s="1"/>
  <c r="U63" i="200"/>
  <c r="Q63" i="200"/>
  <c r="O63" i="200"/>
  <c r="K63" i="200"/>
  <c r="G63" i="200"/>
  <c r="V62" i="200"/>
  <c r="U62" i="200"/>
  <c r="O62" i="200"/>
  <c r="N62" i="200"/>
  <c r="Q62" i="200" s="1"/>
  <c r="M62" i="200"/>
  <c r="K62" i="200"/>
  <c r="G62" i="200"/>
  <c r="AF61" i="200"/>
  <c r="AE61" i="200"/>
  <c r="V61" i="200"/>
  <c r="M61" i="200" s="1"/>
  <c r="N61" i="200" s="1"/>
  <c r="U61" i="200"/>
  <c r="O61" i="200"/>
  <c r="K61" i="200"/>
  <c r="G61" i="200"/>
  <c r="V60" i="200"/>
  <c r="U60" i="200"/>
  <c r="O60" i="200"/>
  <c r="N60" i="200"/>
  <c r="Q60" i="200" s="1"/>
  <c r="M60" i="200"/>
  <c r="K60" i="200"/>
  <c r="G60" i="200"/>
  <c r="AF59" i="200"/>
  <c r="V59" i="200"/>
  <c r="U59" i="200"/>
  <c r="O59" i="200"/>
  <c r="M59" i="200"/>
  <c r="AE59" i="200" s="1"/>
  <c r="K59" i="200"/>
  <c r="G59" i="200"/>
  <c r="AF58" i="200"/>
  <c r="AE58" i="200"/>
  <c r="V58" i="200"/>
  <c r="U58" i="200"/>
  <c r="O58" i="200"/>
  <c r="N58" i="200"/>
  <c r="Q58" i="200" s="1"/>
  <c r="M58" i="200"/>
  <c r="K58" i="200"/>
  <c r="G58" i="200"/>
  <c r="V57" i="200"/>
  <c r="O57" i="200"/>
  <c r="M57" i="200"/>
  <c r="K57" i="200"/>
  <c r="G57" i="200"/>
  <c r="AF56" i="200"/>
  <c r="AE56" i="200"/>
  <c r="AD56" i="200"/>
  <c r="Z56" i="200"/>
  <c r="Y56" i="200"/>
  <c r="H18" i="199" s="1"/>
  <c r="Q56" i="200"/>
  <c r="R52" i="200" s="1"/>
  <c r="P56" i="200"/>
  <c r="O56" i="200"/>
  <c r="K56" i="200"/>
  <c r="V55" i="200"/>
  <c r="U55" i="200"/>
  <c r="O55" i="200"/>
  <c r="N55" i="200"/>
  <c r="M55" i="200"/>
  <c r="K55" i="200"/>
  <c r="G55" i="200"/>
  <c r="AF54" i="200"/>
  <c r="AE54" i="200"/>
  <c r="V54" i="200"/>
  <c r="M54" i="200" s="1"/>
  <c r="N54" i="200" s="1"/>
  <c r="P54" i="200" s="1"/>
  <c r="U54" i="200"/>
  <c r="Q54" i="200"/>
  <c r="O54" i="200"/>
  <c r="K54" i="200"/>
  <c r="G54" i="200"/>
  <c r="V53" i="200"/>
  <c r="U53" i="200"/>
  <c r="O53" i="200"/>
  <c r="N53" i="200"/>
  <c r="Q53" i="200" s="1"/>
  <c r="M53" i="200"/>
  <c r="K53" i="200"/>
  <c r="G53" i="200"/>
  <c r="AG52" i="200"/>
  <c r="AF52" i="200"/>
  <c r="AE52" i="200"/>
  <c r="V52" i="200"/>
  <c r="O52" i="200"/>
  <c r="N52" i="200"/>
  <c r="Q52" i="200" s="1"/>
  <c r="M52" i="200"/>
  <c r="M56" i="200" s="1"/>
  <c r="N56" i="200" s="1"/>
  <c r="H14" i="199" s="1"/>
  <c r="K52" i="200"/>
  <c r="G52" i="200"/>
  <c r="AE51" i="200"/>
  <c r="AD51" i="200"/>
  <c r="Z51" i="200"/>
  <c r="Y51" i="200"/>
  <c r="L18" i="199" s="1"/>
  <c r="O51" i="200"/>
  <c r="M51" i="200"/>
  <c r="AF51" i="200" s="1"/>
  <c r="K51" i="200"/>
  <c r="V50" i="200"/>
  <c r="U50" i="200"/>
  <c r="O50" i="200"/>
  <c r="M50" i="200"/>
  <c r="AF50" i="200" s="1"/>
  <c r="K50" i="200"/>
  <c r="G50" i="200"/>
  <c r="AF49" i="200"/>
  <c r="AE49" i="200"/>
  <c r="V49" i="200"/>
  <c r="U49" i="200"/>
  <c r="O49" i="200"/>
  <c r="N49" i="200"/>
  <c r="Q49" i="200" s="1"/>
  <c r="M49" i="200"/>
  <c r="K49" i="200"/>
  <c r="G49" i="200"/>
  <c r="V48" i="200"/>
  <c r="U48" i="200"/>
  <c r="O48" i="200"/>
  <c r="M48" i="200"/>
  <c r="K48" i="200"/>
  <c r="G48" i="200"/>
  <c r="AF47" i="200"/>
  <c r="AE47" i="200"/>
  <c r="X47" i="200"/>
  <c r="W47" i="200"/>
  <c r="V47" i="200"/>
  <c r="M47" i="200" s="1"/>
  <c r="N47" i="200" s="1"/>
  <c r="P47" i="200" s="1"/>
  <c r="U47" i="200"/>
  <c r="Q47" i="200"/>
  <c r="O47" i="200"/>
  <c r="K47" i="200"/>
  <c r="G47" i="200"/>
  <c r="V46" i="200"/>
  <c r="U46" i="200"/>
  <c r="Q46" i="200"/>
  <c r="P46" i="200"/>
  <c r="O46" i="200"/>
  <c r="N46" i="200"/>
  <c r="M46" i="200"/>
  <c r="K46" i="200"/>
  <c r="G46" i="200"/>
  <c r="AF45" i="200"/>
  <c r="AE45" i="200"/>
  <c r="V45" i="200"/>
  <c r="M45" i="200" s="1"/>
  <c r="N45" i="200" s="1"/>
  <c r="U45" i="200"/>
  <c r="O45" i="200"/>
  <c r="K45" i="200"/>
  <c r="G45" i="200"/>
  <c r="V44" i="200"/>
  <c r="U44" i="200"/>
  <c r="O44" i="200"/>
  <c r="M44" i="200"/>
  <c r="N44" i="200" s="1"/>
  <c r="K44" i="200"/>
  <c r="G44" i="200"/>
  <c r="AG43" i="200"/>
  <c r="X43" i="200"/>
  <c r="W43" i="200"/>
  <c r="V43" i="200"/>
  <c r="O43" i="200"/>
  <c r="M43" i="200"/>
  <c r="K43" i="200"/>
  <c r="G43" i="200"/>
  <c r="AD42" i="200"/>
  <c r="Z42" i="200"/>
  <c r="Y42" i="200"/>
  <c r="K18" i="199" s="1"/>
  <c r="O42" i="200"/>
  <c r="K42" i="200"/>
  <c r="V41" i="200"/>
  <c r="U41" i="200"/>
  <c r="O41" i="200"/>
  <c r="N41" i="200"/>
  <c r="M41" i="200"/>
  <c r="K41" i="200"/>
  <c r="G41" i="200"/>
  <c r="AF40" i="200"/>
  <c r="AE40" i="200"/>
  <c r="V40" i="200"/>
  <c r="M40" i="200" s="1"/>
  <c r="N40" i="200" s="1"/>
  <c r="P40" i="200" s="1"/>
  <c r="U40" i="200"/>
  <c r="Q40" i="200"/>
  <c r="O40" i="200"/>
  <c r="K40" i="200"/>
  <c r="G40" i="200"/>
  <c r="V39" i="200"/>
  <c r="U39" i="200"/>
  <c r="Q39" i="200"/>
  <c r="P39" i="200"/>
  <c r="O39" i="200"/>
  <c r="N39" i="200"/>
  <c r="M39" i="200"/>
  <c r="K39" i="200"/>
  <c r="G39" i="200"/>
  <c r="AF38" i="200"/>
  <c r="AE38" i="200"/>
  <c r="X38" i="200"/>
  <c r="W38" i="200"/>
  <c r="V38" i="200"/>
  <c r="U38" i="200"/>
  <c r="O38" i="200"/>
  <c r="M38" i="200"/>
  <c r="N38" i="200" s="1"/>
  <c r="K38" i="200"/>
  <c r="G38" i="200"/>
  <c r="AF37" i="200"/>
  <c r="AE37" i="200"/>
  <c r="V37" i="200"/>
  <c r="U37" i="200"/>
  <c r="O37" i="200"/>
  <c r="M37" i="200"/>
  <c r="N37" i="200" s="1"/>
  <c r="K37" i="200"/>
  <c r="G37" i="200"/>
  <c r="V36" i="200"/>
  <c r="U36" i="200"/>
  <c r="O36" i="200"/>
  <c r="M36" i="200"/>
  <c r="AF36" i="200" s="1"/>
  <c r="K36" i="200"/>
  <c r="G36" i="200"/>
  <c r="AF35" i="200"/>
  <c r="AE35" i="200"/>
  <c r="V35" i="200"/>
  <c r="M35" i="200" s="1"/>
  <c r="U35" i="200"/>
  <c r="Q35" i="200"/>
  <c r="P35" i="200"/>
  <c r="O35" i="200"/>
  <c r="N35" i="200"/>
  <c r="K35" i="200"/>
  <c r="G35" i="200"/>
  <c r="X34" i="200"/>
  <c r="W34" i="200"/>
  <c r="V34" i="200"/>
  <c r="P34" i="200"/>
  <c r="O34" i="200"/>
  <c r="N34" i="200"/>
  <c r="Q34" i="200" s="1"/>
  <c r="M34" i="200"/>
  <c r="K34" i="200"/>
  <c r="G34" i="200"/>
  <c r="AD33" i="200"/>
  <c r="Z33" i="200"/>
  <c r="Y33" i="200"/>
  <c r="O33" i="200"/>
  <c r="K33" i="200"/>
  <c r="V32" i="200"/>
  <c r="U32" i="200"/>
  <c r="O32" i="200"/>
  <c r="M32" i="200"/>
  <c r="N32" i="200" s="1"/>
  <c r="K32" i="200"/>
  <c r="G32" i="200"/>
  <c r="AF31" i="200"/>
  <c r="X31" i="200"/>
  <c r="W31" i="200"/>
  <c r="V31" i="200"/>
  <c r="U31" i="200"/>
  <c r="O31" i="200"/>
  <c r="M31" i="200"/>
  <c r="AE31" i="200" s="1"/>
  <c r="K31" i="200"/>
  <c r="G31" i="200"/>
  <c r="AF30" i="200"/>
  <c r="AE30" i="200"/>
  <c r="V30" i="200"/>
  <c r="M30" i="200" s="1"/>
  <c r="U30" i="200"/>
  <c r="O30" i="200"/>
  <c r="N30" i="200"/>
  <c r="Q30" i="200" s="1"/>
  <c r="K30" i="200"/>
  <c r="G30" i="200"/>
  <c r="V29" i="200"/>
  <c r="U29" i="200"/>
  <c r="O29" i="200"/>
  <c r="N29" i="200"/>
  <c r="M29" i="200"/>
  <c r="K29" i="200"/>
  <c r="G29" i="200"/>
  <c r="AF28" i="200"/>
  <c r="AE28" i="200"/>
  <c r="V28" i="200"/>
  <c r="M28" i="200" s="1"/>
  <c r="N28" i="200" s="1"/>
  <c r="U28" i="200"/>
  <c r="Q28" i="200"/>
  <c r="P28" i="200"/>
  <c r="O28" i="200"/>
  <c r="K28" i="200"/>
  <c r="G28" i="200"/>
  <c r="V27" i="200"/>
  <c r="U27" i="200"/>
  <c r="O27" i="200"/>
  <c r="N27" i="200"/>
  <c r="Q27" i="200" s="1"/>
  <c r="M27" i="200"/>
  <c r="K27" i="200"/>
  <c r="G27" i="200"/>
  <c r="AF26" i="200"/>
  <c r="AE26" i="200"/>
  <c r="V26" i="200"/>
  <c r="M26" i="200" s="1"/>
  <c r="O26" i="200"/>
  <c r="K26" i="200"/>
  <c r="G26" i="200"/>
  <c r="AD25" i="200"/>
  <c r="Z25" i="200"/>
  <c r="Y25" i="200"/>
  <c r="F18" i="199" s="1"/>
  <c r="O25" i="200"/>
  <c r="M25" i="200"/>
  <c r="N25" i="200" s="1"/>
  <c r="K25" i="200"/>
  <c r="AF24" i="200"/>
  <c r="V24" i="200"/>
  <c r="U24" i="200"/>
  <c r="O24" i="200"/>
  <c r="M24" i="200"/>
  <c r="AE24" i="200" s="1"/>
  <c r="K24" i="200"/>
  <c r="G24" i="200"/>
  <c r="AF23" i="200"/>
  <c r="AE23" i="200"/>
  <c r="X23" i="200"/>
  <c r="W23" i="200"/>
  <c r="V23" i="200"/>
  <c r="M23" i="200" s="1"/>
  <c r="U23" i="200"/>
  <c r="O23" i="200"/>
  <c r="N23" i="200"/>
  <c r="Q23" i="200" s="1"/>
  <c r="K23" i="200"/>
  <c r="G23" i="200"/>
  <c r="V22" i="200"/>
  <c r="U22" i="200"/>
  <c r="O22" i="200"/>
  <c r="N22" i="200"/>
  <c r="M22" i="200"/>
  <c r="K22" i="200"/>
  <c r="G22" i="200"/>
  <c r="AF21" i="200"/>
  <c r="AE21" i="200"/>
  <c r="V21" i="200"/>
  <c r="M21" i="200" s="1"/>
  <c r="N21" i="200" s="1"/>
  <c r="U21" i="200"/>
  <c r="Q21" i="200"/>
  <c r="P21" i="200"/>
  <c r="O21" i="200"/>
  <c r="K21" i="200"/>
  <c r="G21" i="200"/>
  <c r="V20" i="200"/>
  <c r="U20" i="200"/>
  <c r="O20" i="200"/>
  <c r="N20" i="200"/>
  <c r="Q20" i="200" s="1"/>
  <c r="M20" i="200"/>
  <c r="K20" i="200"/>
  <c r="G20" i="200"/>
  <c r="AF19" i="200"/>
  <c r="AE19" i="200"/>
  <c r="V19" i="200"/>
  <c r="M19" i="200" s="1"/>
  <c r="N19" i="200" s="1"/>
  <c r="U19" i="200"/>
  <c r="O19" i="200"/>
  <c r="K19" i="200"/>
  <c r="G19" i="200"/>
  <c r="V18" i="200"/>
  <c r="U18" i="200"/>
  <c r="Q18" i="200"/>
  <c r="O18" i="200"/>
  <c r="N18" i="200"/>
  <c r="P18" i="200" s="1"/>
  <c r="M18" i="200"/>
  <c r="K18" i="200"/>
  <c r="G18" i="200"/>
  <c r="AF17" i="200"/>
  <c r="X17" i="200"/>
  <c r="W17" i="200"/>
  <c r="V17" i="200"/>
  <c r="O17" i="200"/>
  <c r="M17" i="200"/>
  <c r="AE17" i="200" s="1"/>
  <c r="K17" i="200"/>
  <c r="G17" i="200"/>
  <c r="AD16" i="200"/>
  <c r="Z16" i="200"/>
  <c r="Y16" i="200"/>
  <c r="E18" i="199" s="1"/>
  <c r="O16" i="200"/>
  <c r="K16" i="200"/>
  <c r="V15" i="200"/>
  <c r="U15" i="200"/>
  <c r="O15" i="200"/>
  <c r="N15" i="200"/>
  <c r="M15" i="200"/>
  <c r="K15" i="200"/>
  <c r="G15" i="200"/>
  <c r="AF14" i="200"/>
  <c r="AE14" i="200"/>
  <c r="V14" i="200"/>
  <c r="M14" i="200" s="1"/>
  <c r="N14" i="200" s="1"/>
  <c r="U14" i="200"/>
  <c r="Q14" i="200"/>
  <c r="P14" i="200"/>
  <c r="O14" i="200"/>
  <c r="K14" i="200"/>
  <c r="G14" i="200"/>
  <c r="X13" i="200"/>
  <c r="W13" i="200"/>
  <c r="V13" i="200"/>
  <c r="U13" i="200"/>
  <c r="O13" i="200"/>
  <c r="N13" i="200"/>
  <c r="Q13" i="200" s="1"/>
  <c r="M13" i="200"/>
  <c r="K13" i="200"/>
  <c r="G13" i="200"/>
  <c r="AF12" i="200"/>
  <c r="AE12" i="200"/>
  <c r="V12" i="200"/>
  <c r="U12" i="200"/>
  <c r="O12" i="200"/>
  <c r="N12" i="200"/>
  <c r="Q12" i="200" s="1"/>
  <c r="M12" i="200"/>
  <c r="K12" i="200"/>
  <c r="G12" i="200"/>
  <c r="AE11" i="200"/>
  <c r="V11" i="200"/>
  <c r="U11" i="200"/>
  <c r="O11" i="200"/>
  <c r="N11" i="200"/>
  <c r="P11" i="200" s="1"/>
  <c r="M11" i="200"/>
  <c r="AF11" i="200" s="1"/>
  <c r="K11" i="200"/>
  <c r="G11" i="200"/>
  <c r="X10" i="200"/>
  <c r="W10" i="200"/>
  <c r="V10" i="200"/>
  <c r="O10" i="200"/>
  <c r="N10" i="200"/>
  <c r="M10" i="200"/>
  <c r="K10" i="200"/>
  <c r="G10" i="200"/>
  <c r="AD9" i="200"/>
  <c r="D21" i="199" s="1"/>
  <c r="Z9" i="200"/>
  <c r="D19" i="199" s="1"/>
  <c r="Y9" i="200"/>
  <c r="O9" i="200"/>
  <c r="K9" i="200"/>
  <c r="V8" i="200"/>
  <c r="U8" i="200"/>
  <c r="O8" i="200"/>
  <c r="N8" i="200"/>
  <c r="Q8" i="200" s="1"/>
  <c r="M8" i="200"/>
  <c r="K8" i="200"/>
  <c r="G8" i="200"/>
  <c r="AF7" i="200"/>
  <c r="AE7" i="200"/>
  <c r="X7" i="200"/>
  <c r="W7" i="200"/>
  <c r="V7" i="200"/>
  <c r="U7" i="200"/>
  <c r="O7" i="200"/>
  <c r="N7" i="200"/>
  <c r="Q7" i="200" s="1"/>
  <c r="M7" i="200"/>
  <c r="K7" i="200"/>
  <c r="G7" i="200"/>
  <c r="AE6" i="200"/>
  <c r="V6" i="200"/>
  <c r="U6" i="200"/>
  <c r="O6" i="200"/>
  <c r="N6" i="200"/>
  <c r="Q6" i="200" s="1"/>
  <c r="M6" i="200"/>
  <c r="AF6" i="200" s="1"/>
  <c r="K6" i="200"/>
  <c r="G6" i="200"/>
  <c r="V5" i="200"/>
  <c r="O5" i="200"/>
  <c r="M5" i="200"/>
  <c r="AF5" i="200" s="1"/>
  <c r="K5" i="200"/>
  <c r="G5" i="200"/>
  <c r="AD2" i="200"/>
  <c r="N6" i="199" s="1"/>
  <c r="Z2" i="200"/>
  <c r="Y2" i="200"/>
  <c r="H2" i="200"/>
  <c r="H1" i="200"/>
  <c r="F1" i="200"/>
  <c r="F2" i="200" s="1"/>
  <c r="D1" i="200"/>
  <c r="M22" i="199"/>
  <c r="L22" i="199"/>
  <c r="K22" i="199"/>
  <c r="J22" i="199"/>
  <c r="I22" i="199"/>
  <c r="H22" i="199"/>
  <c r="G22" i="199"/>
  <c r="F22" i="199"/>
  <c r="E22" i="199"/>
  <c r="D22" i="199"/>
  <c r="M21" i="199"/>
  <c r="L21" i="199"/>
  <c r="K21" i="199"/>
  <c r="J21" i="199"/>
  <c r="I21" i="199"/>
  <c r="H21" i="199"/>
  <c r="G21" i="199"/>
  <c r="F21" i="199"/>
  <c r="E21" i="199"/>
  <c r="M20" i="199"/>
  <c r="L20" i="199"/>
  <c r="K20" i="199"/>
  <c r="J20" i="199"/>
  <c r="I20" i="199"/>
  <c r="H20" i="199"/>
  <c r="G20" i="199"/>
  <c r="F20" i="199"/>
  <c r="E20" i="199"/>
  <c r="D20" i="199"/>
  <c r="M19" i="199"/>
  <c r="L19" i="199"/>
  <c r="K19" i="199"/>
  <c r="J19" i="199"/>
  <c r="I19" i="199"/>
  <c r="H19" i="199"/>
  <c r="G19" i="199"/>
  <c r="F19" i="199"/>
  <c r="E19" i="199"/>
  <c r="I18" i="199"/>
  <c r="G18" i="199"/>
  <c r="D18" i="199"/>
  <c r="M17" i="199"/>
  <c r="L17" i="199"/>
  <c r="K17" i="199"/>
  <c r="J17" i="199"/>
  <c r="I17" i="199"/>
  <c r="H17" i="199"/>
  <c r="G17" i="199"/>
  <c r="F17" i="199"/>
  <c r="E17" i="199"/>
  <c r="D17" i="199"/>
  <c r="M16" i="199"/>
  <c r="L16" i="199"/>
  <c r="K16" i="199"/>
  <c r="J16" i="199"/>
  <c r="I16" i="199"/>
  <c r="H16" i="199"/>
  <c r="G16" i="199"/>
  <c r="F16" i="199"/>
  <c r="E16" i="199"/>
  <c r="D16" i="199"/>
  <c r="H15" i="199"/>
  <c r="M13" i="199"/>
  <c r="L13" i="199"/>
  <c r="K13" i="199"/>
  <c r="J13" i="199"/>
  <c r="I13" i="199"/>
  <c r="H13" i="199"/>
  <c r="G13" i="199"/>
  <c r="F13" i="199"/>
  <c r="E13" i="199"/>
  <c r="D13" i="199"/>
  <c r="M6" i="199"/>
  <c r="L6" i="199"/>
  <c r="K6" i="199"/>
  <c r="I6" i="199"/>
  <c r="G6" i="199"/>
  <c r="F6" i="199"/>
  <c r="E6" i="199"/>
  <c r="I3" i="199"/>
  <c r="F3" i="199"/>
  <c r="C3" i="199"/>
  <c r="K15" i="207" l="1"/>
  <c r="I8" i="207" s="1"/>
  <c r="I7" i="207"/>
  <c r="G7" i="207"/>
  <c r="F7" i="207"/>
  <c r="D15" i="207"/>
  <c r="E7" i="207"/>
  <c r="I14" i="205"/>
  <c r="I15" i="205" s="1"/>
  <c r="Q65" i="206"/>
  <c r="R55" i="206" s="1"/>
  <c r="P65" i="206"/>
  <c r="Q70" i="206"/>
  <c r="R66" i="206" s="1"/>
  <c r="P70" i="206"/>
  <c r="J14" i="205"/>
  <c r="J15" i="205" s="1"/>
  <c r="F14" i="205"/>
  <c r="F15" i="205" s="1"/>
  <c r="Q22" i="206"/>
  <c r="R15" i="206" s="1"/>
  <c r="P22" i="206"/>
  <c r="K14" i="205"/>
  <c r="P39" i="206"/>
  <c r="Q39" i="206"/>
  <c r="R31" i="206" s="1"/>
  <c r="D15" i="205"/>
  <c r="P14" i="206"/>
  <c r="E14" i="205"/>
  <c r="E15" i="205" s="1"/>
  <c r="Q14" i="206"/>
  <c r="R9" i="206" s="1"/>
  <c r="G14" i="205"/>
  <c r="G15" i="205" s="1"/>
  <c r="Q30" i="206"/>
  <c r="R23" i="206" s="1"/>
  <c r="P30" i="206"/>
  <c r="L14" i="205"/>
  <c r="L15" i="205" s="1"/>
  <c r="Q49" i="206"/>
  <c r="R40" i="206" s="1"/>
  <c r="P49" i="206"/>
  <c r="H14" i="205"/>
  <c r="H15" i="205" s="1"/>
  <c r="Q54" i="206"/>
  <c r="R50" i="206" s="1"/>
  <c r="P54" i="206"/>
  <c r="Q80" i="206"/>
  <c r="R71" i="206" s="1"/>
  <c r="P80" i="206"/>
  <c r="M14" i="205"/>
  <c r="M15" i="205" s="1"/>
  <c r="P35" i="202"/>
  <c r="Q35" i="202"/>
  <c r="AF15" i="202"/>
  <c r="AG10" i="202" s="1"/>
  <c r="AE15" i="202"/>
  <c r="N15" i="202"/>
  <c r="P76" i="202"/>
  <c r="Q76" i="202"/>
  <c r="Q79" i="202"/>
  <c r="P79" i="202"/>
  <c r="N75" i="202"/>
  <c r="AF75" i="202"/>
  <c r="AG71" i="202" s="1"/>
  <c r="AE75" i="202"/>
  <c r="P37" i="202"/>
  <c r="Q37" i="202"/>
  <c r="Q44" i="202"/>
  <c r="P44" i="202"/>
  <c r="Q48" i="202"/>
  <c r="P48" i="202"/>
  <c r="Q23" i="202"/>
  <c r="P23" i="202"/>
  <c r="Q69" i="202"/>
  <c r="P69" i="202"/>
  <c r="Q11" i="202"/>
  <c r="P11" i="202"/>
  <c r="P67" i="202"/>
  <c r="Q67" i="202"/>
  <c r="AF53" i="202"/>
  <c r="AG43" i="202" s="1"/>
  <c r="AE53" i="202"/>
  <c r="N53" i="202"/>
  <c r="N9" i="202"/>
  <c r="AE9" i="202"/>
  <c r="AF9" i="202"/>
  <c r="AG5" i="202" s="1"/>
  <c r="AF85" i="202"/>
  <c r="AG76" i="202" s="1"/>
  <c r="AE85" i="202"/>
  <c r="N85" i="202"/>
  <c r="P52" i="202"/>
  <c r="Q52" i="202"/>
  <c r="Q58" i="202"/>
  <c r="P58" i="202"/>
  <c r="Q49" i="202"/>
  <c r="P49" i="202"/>
  <c r="P34" i="202"/>
  <c r="Q34" i="202"/>
  <c r="AF32" i="202"/>
  <c r="AG25" i="202" s="1"/>
  <c r="AE32" i="202"/>
  <c r="N32" i="202"/>
  <c r="Q84" i="202"/>
  <c r="P84" i="202"/>
  <c r="Q78" i="202"/>
  <c r="P78" i="202"/>
  <c r="Q16" i="202"/>
  <c r="P16" i="202"/>
  <c r="N59" i="202"/>
  <c r="AE59" i="202"/>
  <c r="AF59" i="202"/>
  <c r="AG54" i="202" s="1"/>
  <c r="Q74" i="202"/>
  <c r="P74" i="202"/>
  <c r="Q14" i="202"/>
  <c r="P14" i="202"/>
  <c r="Q65" i="202"/>
  <c r="P65" i="202"/>
  <c r="P56" i="202"/>
  <c r="Q56" i="202"/>
  <c r="Q18" i="202"/>
  <c r="P18" i="202"/>
  <c r="N42" i="202"/>
  <c r="AE42" i="202"/>
  <c r="AF42" i="202"/>
  <c r="AG33" i="202" s="1"/>
  <c r="Q28" i="202"/>
  <c r="P28" i="202"/>
  <c r="P54" i="202"/>
  <c r="Q54" i="202"/>
  <c r="Q20" i="202"/>
  <c r="P20" i="202"/>
  <c r="F2" i="202"/>
  <c r="I3" i="201"/>
  <c r="P21" i="202"/>
  <c r="Q21" i="202"/>
  <c r="Q5" i="202"/>
  <c r="P5" i="202"/>
  <c r="P77" i="202"/>
  <c r="Q77" i="202"/>
  <c r="Q29" i="202"/>
  <c r="P29" i="202"/>
  <c r="Q72" i="202"/>
  <c r="P72" i="202"/>
  <c r="N70" i="202"/>
  <c r="AE70" i="202"/>
  <c r="AF70" i="202"/>
  <c r="AG60" i="202" s="1"/>
  <c r="N24" i="202"/>
  <c r="AF24" i="202"/>
  <c r="AG16" i="202" s="1"/>
  <c r="AE24" i="202"/>
  <c r="Q64" i="202"/>
  <c r="P64" i="202"/>
  <c r="Q71" i="202"/>
  <c r="P71" i="202"/>
  <c r="Q57" i="202"/>
  <c r="P57" i="202"/>
  <c r="P27" i="202"/>
  <c r="Q27" i="202"/>
  <c r="P25" i="202"/>
  <c r="Q25" i="202"/>
  <c r="P13" i="202"/>
  <c r="Q13" i="202"/>
  <c r="F14" i="199"/>
  <c r="F15" i="199" s="1"/>
  <c r="Q25" i="200"/>
  <c r="R17" i="200" s="1"/>
  <c r="P25" i="200"/>
  <c r="P44" i="200"/>
  <c r="Q44" i="200"/>
  <c r="P37" i="200"/>
  <c r="Q37" i="200"/>
  <c r="Q32" i="200"/>
  <c r="P32" i="200"/>
  <c r="P74" i="200"/>
  <c r="P79" i="200"/>
  <c r="P6" i="200"/>
  <c r="P62" i="200"/>
  <c r="P8" i="200"/>
  <c r="Q11" i="200"/>
  <c r="N51" i="200"/>
  <c r="P58" i="200"/>
  <c r="Q65" i="200"/>
  <c r="P49" i="200"/>
  <c r="P76" i="200"/>
  <c r="P13" i="200"/>
  <c r="P27" i="200"/>
  <c r="P60" i="200"/>
  <c r="P20" i="200"/>
  <c r="P30" i="200"/>
  <c r="P23" i="200"/>
  <c r="P53" i="200"/>
  <c r="AF8" i="200"/>
  <c r="AE8" i="200"/>
  <c r="M16" i="200"/>
  <c r="AF10" i="200"/>
  <c r="AE10" i="200"/>
  <c r="Q10" i="200"/>
  <c r="P10" i="200"/>
  <c r="AF13" i="200"/>
  <c r="AE13" i="200"/>
  <c r="AF15" i="200"/>
  <c r="AE15" i="200"/>
  <c r="P15" i="200"/>
  <c r="Q15" i="200"/>
  <c r="AF18" i="200"/>
  <c r="AE18" i="200"/>
  <c r="Q19" i="200"/>
  <c r="P19" i="200"/>
  <c r="AF20" i="200"/>
  <c r="AE20" i="200"/>
  <c r="AF22" i="200"/>
  <c r="AE22" i="200"/>
  <c r="Q22" i="200"/>
  <c r="P22" i="200"/>
  <c r="AF25" i="200"/>
  <c r="AG17" i="200" s="1"/>
  <c r="AE25" i="200"/>
  <c r="N26" i="200"/>
  <c r="M33" i="200"/>
  <c r="AF27" i="200"/>
  <c r="AE27" i="200"/>
  <c r="AF29" i="200"/>
  <c r="AE29" i="200"/>
  <c r="Q29" i="200"/>
  <c r="P29" i="200"/>
  <c r="AF32" i="200"/>
  <c r="AE32" i="200"/>
  <c r="AE34" i="200"/>
  <c r="M42" i="200"/>
  <c r="AF34" i="200"/>
  <c r="Q38" i="200"/>
  <c r="P38" i="200"/>
  <c r="AE39" i="200"/>
  <c r="AF39" i="200"/>
  <c r="AE41" i="200"/>
  <c r="AF41" i="200"/>
  <c r="Q41" i="200"/>
  <c r="P41" i="200"/>
  <c r="AF43" i="200"/>
  <c r="AE43" i="200"/>
  <c r="N43" i="200"/>
  <c r="AE44" i="200"/>
  <c r="AF44" i="200"/>
  <c r="Q45" i="200"/>
  <c r="P45" i="200"/>
  <c r="AE46" i="200"/>
  <c r="AF46" i="200"/>
  <c r="N48" i="200"/>
  <c r="AF48" i="200"/>
  <c r="AE48" i="200"/>
  <c r="AE53" i="200"/>
  <c r="AF53" i="200"/>
  <c r="AE55" i="200"/>
  <c r="AF55" i="200"/>
  <c r="Q55" i="200"/>
  <c r="P55" i="200"/>
  <c r="N57" i="200"/>
  <c r="AF57" i="200"/>
  <c r="AE57" i="200"/>
  <c r="M66" i="200"/>
  <c r="AE60" i="200"/>
  <c r="AF60" i="200"/>
  <c r="Q61" i="200"/>
  <c r="P61" i="200"/>
  <c r="AE62" i="200"/>
  <c r="AF62" i="200"/>
  <c r="AF64" i="200"/>
  <c r="AE64" i="200"/>
  <c r="Q64" i="200"/>
  <c r="P64" i="200"/>
  <c r="AE67" i="200"/>
  <c r="AF67" i="200"/>
  <c r="Q68" i="200"/>
  <c r="P68" i="200"/>
  <c r="AE69" i="200"/>
  <c r="AF69" i="200"/>
  <c r="AF71" i="200"/>
  <c r="AG67" i="200" s="1"/>
  <c r="AE71" i="200"/>
  <c r="P71" i="200"/>
  <c r="J14" i="199"/>
  <c r="J15" i="199" s="1"/>
  <c r="Q71" i="200"/>
  <c r="R67" i="200" s="1"/>
  <c r="N72" i="200"/>
  <c r="M80" i="200"/>
  <c r="AF74" i="200"/>
  <c r="AE74" i="200"/>
  <c r="Q75" i="200"/>
  <c r="P75" i="200"/>
  <c r="AE76" i="200"/>
  <c r="AF76" i="200"/>
  <c r="N24" i="200"/>
  <c r="N59" i="200"/>
  <c r="N73" i="200"/>
  <c r="N78" i="200"/>
  <c r="N5" i="200"/>
  <c r="P7" i="200"/>
  <c r="M9" i="200"/>
  <c r="P12" i="200"/>
  <c r="P52" i="200"/>
  <c r="AE78" i="200"/>
  <c r="AE5" i="200"/>
  <c r="AE36" i="200"/>
  <c r="N17" i="200"/>
  <c r="N31" i="200"/>
  <c r="N36" i="200"/>
  <c r="N50" i="200"/>
  <c r="AE50" i="200"/>
  <c r="AD80" i="198"/>
  <c r="Z80" i="198"/>
  <c r="Y80" i="198"/>
  <c r="M18" i="197" s="1"/>
  <c r="O80" i="198"/>
  <c r="K80" i="198"/>
  <c r="M13" i="197" s="1"/>
  <c r="I6" i="197" s="1"/>
  <c r="V79" i="198"/>
  <c r="U79" i="198"/>
  <c r="O79" i="198"/>
  <c r="M79" i="198"/>
  <c r="N79" i="198" s="1"/>
  <c r="K79" i="198"/>
  <c r="G79" i="198"/>
  <c r="V78" i="198"/>
  <c r="U78" i="198"/>
  <c r="O78" i="198"/>
  <c r="M78" i="198"/>
  <c r="K78" i="198"/>
  <c r="G78" i="198"/>
  <c r="V77" i="198"/>
  <c r="M77" i="198" s="1"/>
  <c r="N77" i="198" s="1"/>
  <c r="U77" i="198"/>
  <c r="Q77" i="198"/>
  <c r="P77" i="198"/>
  <c r="O77" i="198"/>
  <c r="K77" i="198"/>
  <c r="G77" i="198"/>
  <c r="X76" i="198"/>
  <c r="W76" i="198"/>
  <c r="V76" i="198"/>
  <c r="M76" i="198" s="1"/>
  <c r="U76" i="198"/>
  <c r="O76" i="198"/>
  <c r="K76" i="198"/>
  <c r="G76" i="198"/>
  <c r="V75" i="198"/>
  <c r="M75" i="198" s="1"/>
  <c r="N75" i="198" s="1"/>
  <c r="U75" i="198"/>
  <c r="O75" i="198"/>
  <c r="K75" i="198"/>
  <c r="G75" i="198"/>
  <c r="V74" i="198"/>
  <c r="U74" i="198"/>
  <c r="O74" i="198"/>
  <c r="M74" i="198"/>
  <c r="AF74" i="198" s="1"/>
  <c r="K74" i="198"/>
  <c r="G74" i="198"/>
  <c r="AF73" i="198"/>
  <c r="V73" i="198"/>
  <c r="U73" i="198"/>
  <c r="O73" i="198"/>
  <c r="M73" i="198"/>
  <c r="AE73" i="198" s="1"/>
  <c r="K73" i="198"/>
  <c r="G73" i="198"/>
  <c r="X72" i="198"/>
  <c r="W72" i="198"/>
  <c r="V72" i="198"/>
  <c r="M72" i="198" s="1"/>
  <c r="N72" i="198" s="1"/>
  <c r="Q72" i="198"/>
  <c r="P72" i="198"/>
  <c r="O72" i="198"/>
  <c r="K72" i="198"/>
  <c r="G72" i="198"/>
  <c r="AD71" i="198"/>
  <c r="Z71" i="198"/>
  <c r="Y71" i="198"/>
  <c r="J18" i="197" s="1"/>
  <c r="O71" i="198"/>
  <c r="K71" i="198"/>
  <c r="J13" i="197" s="1"/>
  <c r="V70" i="198"/>
  <c r="M70" i="198" s="1"/>
  <c r="N70" i="198" s="1"/>
  <c r="P70" i="198" s="1"/>
  <c r="U70" i="198"/>
  <c r="Q70" i="198"/>
  <c r="O70" i="198"/>
  <c r="K70" i="198"/>
  <c r="G70" i="198"/>
  <c r="V69" i="198"/>
  <c r="U69" i="198"/>
  <c r="Q69" i="198"/>
  <c r="P69" i="198"/>
  <c r="O69" i="198"/>
  <c r="N69" i="198"/>
  <c r="M69" i="198"/>
  <c r="K69" i="198"/>
  <c r="G69" i="198"/>
  <c r="V68" i="198"/>
  <c r="M68" i="198" s="1"/>
  <c r="N68" i="198" s="1"/>
  <c r="U68" i="198"/>
  <c r="O68" i="198"/>
  <c r="K68" i="198"/>
  <c r="G68" i="198"/>
  <c r="V67" i="198"/>
  <c r="M67" i="198" s="1"/>
  <c r="O67" i="198"/>
  <c r="K67" i="198"/>
  <c r="G67" i="198"/>
  <c r="AD66" i="198"/>
  <c r="Z66" i="198"/>
  <c r="Y66" i="198"/>
  <c r="O66" i="198"/>
  <c r="K66" i="198"/>
  <c r="V65" i="198"/>
  <c r="U65" i="198"/>
  <c r="O65" i="198"/>
  <c r="M65" i="198"/>
  <c r="AF65" i="198" s="1"/>
  <c r="K65" i="198"/>
  <c r="G65" i="198"/>
  <c r="X64" i="198"/>
  <c r="W64" i="198"/>
  <c r="V64" i="198"/>
  <c r="U64" i="198"/>
  <c r="O64" i="198"/>
  <c r="M64" i="198"/>
  <c r="N64" i="198" s="1"/>
  <c r="K64" i="198"/>
  <c r="G64" i="198"/>
  <c r="V63" i="198"/>
  <c r="M63" i="198" s="1"/>
  <c r="N63" i="198" s="1"/>
  <c r="P63" i="198" s="1"/>
  <c r="U63" i="198"/>
  <c r="O63" i="198"/>
  <c r="K63" i="198"/>
  <c r="G63" i="198"/>
  <c r="V62" i="198"/>
  <c r="M62" i="198" s="1"/>
  <c r="U62" i="198"/>
  <c r="O62" i="198"/>
  <c r="K62" i="198"/>
  <c r="G62" i="198"/>
  <c r="V61" i="198"/>
  <c r="M61" i="198" s="1"/>
  <c r="N61" i="198" s="1"/>
  <c r="U61" i="198"/>
  <c r="O61" i="198"/>
  <c r="K61" i="198"/>
  <c r="G61" i="198"/>
  <c r="V60" i="198"/>
  <c r="M60" i="198" s="1"/>
  <c r="U60" i="198"/>
  <c r="O60" i="198"/>
  <c r="K60" i="198"/>
  <c r="G60" i="198"/>
  <c r="AF59" i="198"/>
  <c r="V59" i="198"/>
  <c r="U59" i="198"/>
  <c r="O59" i="198"/>
  <c r="M59" i="198"/>
  <c r="AE59" i="198" s="1"/>
  <c r="K59" i="198"/>
  <c r="G59" i="198"/>
  <c r="V58" i="198"/>
  <c r="M58" i="198" s="1"/>
  <c r="U58" i="198"/>
  <c r="O58" i="198"/>
  <c r="K58" i="198"/>
  <c r="G58" i="198"/>
  <c r="V57" i="198"/>
  <c r="O57" i="198"/>
  <c r="M57" i="198"/>
  <c r="N57" i="198" s="1"/>
  <c r="K57" i="198"/>
  <c r="G57" i="198"/>
  <c r="AE56" i="198"/>
  <c r="AD56" i="198"/>
  <c r="H21" i="197" s="1"/>
  <c r="Z56" i="198"/>
  <c r="H19" i="197" s="1"/>
  <c r="Y56" i="198"/>
  <c r="H18" i="197" s="1"/>
  <c r="Q56" i="198"/>
  <c r="R52" i="198" s="1"/>
  <c r="P56" i="198"/>
  <c r="O56" i="198"/>
  <c r="K56" i="198"/>
  <c r="V55" i="198"/>
  <c r="U55" i="198"/>
  <c r="P55" i="198"/>
  <c r="O55" i="198"/>
  <c r="N55" i="198"/>
  <c r="Q55" i="198" s="1"/>
  <c r="M55" i="198"/>
  <c r="K55" i="198"/>
  <c r="G55" i="198"/>
  <c r="V54" i="198"/>
  <c r="M54" i="198" s="1"/>
  <c r="N54" i="198" s="1"/>
  <c r="P54" i="198" s="1"/>
  <c r="U54" i="198"/>
  <c r="Q54" i="198"/>
  <c r="O54" i="198"/>
  <c r="K54" i="198"/>
  <c r="G54" i="198"/>
  <c r="V53" i="198"/>
  <c r="U53" i="198"/>
  <c r="O53" i="198"/>
  <c r="N53" i="198"/>
  <c r="Q53" i="198" s="1"/>
  <c r="M53" i="198"/>
  <c r="K53" i="198"/>
  <c r="G53" i="198"/>
  <c r="AF52" i="198"/>
  <c r="AE52" i="198"/>
  <c r="V52" i="198"/>
  <c r="O52" i="198"/>
  <c r="N52" i="198"/>
  <c r="Q52" i="198" s="1"/>
  <c r="M52" i="198"/>
  <c r="M56" i="198" s="1"/>
  <c r="N56" i="198" s="1"/>
  <c r="H14" i="197" s="1"/>
  <c r="K52" i="198"/>
  <c r="G52" i="198"/>
  <c r="AD51" i="198"/>
  <c r="Z51" i="198"/>
  <c r="Y51" i="198"/>
  <c r="L18" i="197" s="1"/>
  <c r="O51" i="198"/>
  <c r="K51" i="198"/>
  <c r="V50" i="198"/>
  <c r="U50" i="198"/>
  <c r="O50" i="198"/>
  <c r="M50" i="198"/>
  <c r="AF50" i="198" s="1"/>
  <c r="K50" i="198"/>
  <c r="G50" i="198"/>
  <c r="V49" i="198"/>
  <c r="U49" i="198"/>
  <c r="O49" i="198"/>
  <c r="N49" i="198"/>
  <c r="P49" i="198" s="1"/>
  <c r="M49" i="198"/>
  <c r="AF49" i="198" s="1"/>
  <c r="K49" i="198"/>
  <c r="G49" i="198"/>
  <c r="V48" i="198"/>
  <c r="U48" i="198"/>
  <c r="O48" i="198"/>
  <c r="N48" i="198"/>
  <c r="M48" i="198"/>
  <c r="K48" i="198"/>
  <c r="G48" i="198"/>
  <c r="X47" i="198"/>
  <c r="W47" i="198"/>
  <c r="V47" i="198"/>
  <c r="M47" i="198" s="1"/>
  <c r="N47" i="198" s="1"/>
  <c r="P47" i="198" s="1"/>
  <c r="U47" i="198"/>
  <c r="Q47" i="198"/>
  <c r="O47" i="198"/>
  <c r="K47" i="198"/>
  <c r="G47" i="198"/>
  <c r="V46" i="198"/>
  <c r="U46" i="198"/>
  <c r="Q46" i="198"/>
  <c r="P46" i="198"/>
  <c r="O46" i="198"/>
  <c r="N46" i="198"/>
  <c r="M46" i="198"/>
  <c r="K46" i="198"/>
  <c r="G46" i="198"/>
  <c r="V45" i="198"/>
  <c r="M45" i="198" s="1"/>
  <c r="N45" i="198" s="1"/>
  <c r="U45" i="198"/>
  <c r="O45" i="198"/>
  <c r="K45" i="198"/>
  <c r="G45" i="198"/>
  <c r="V44" i="198"/>
  <c r="M44" i="198" s="1"/>
  <c r="U44" i="198"/>
  <c r="O44" i="198"/>
  <c r="K44" i="198"/>
  <c r="G44" i="198"/>
  <c r="X43" i="198"/>
  <c r="W43" i="198"/>
  <c r="V43" i="198"/>
  <c r="O43" i="198"/>
  <c r="M43" i="198"/>
  <c r="N43" i="198" s="1"/>
  <c r="K43" i="198"/>
  <c r="G43" i="198"/>
  <c r="AD42" i="198"/>
  <c r="Z42" i="198"/>
  <c r="Y42" i="198"/>
  <c r="K18" i="197" s="1"/>
  <c r="O42" i="198"/>
  <c r="K42" i="198"/>
  <c r="V41" i="198"/>
  <c r="U41" i="198"/>
  <c r="O41" i="198"/>
  <c r="M41" i="198"/>
  <c r="N41" i="198" s="1"/>
  <c r="K41" i="198"/>
  <c r="G41" i="198"/>
  <c r="AE40" i="198"/>
  <c r="V40" i="198"/>
  <c r="M40" i="198" s="1"/>
  <c r="N40" i="198" s="1"/>
  <c r="P40" i="198" s="1"/>
  <c r="U40" i="198"/>
  <c r="Q40" i="198"/>
  <c r="O40" i="198"/>
  <c r="K40" i="198"/>
  <c r="G40" i="198"/>
  <c r="V39" i="198"/>
  <c r="U39" i="198"/>
  <c r="Q39" i="198"/>
  <c r="P39" i="198"/>
  <c r="O39" i="198"/>
  <c r="N39" i="198"/>
  <c r="M39" i="198"/>
  <c r="K39" i="198"/>
  <c r="G39" i="198"/>
  <c r="AF38" i="198"/>
  <c r="AE38" i="198"/>
  <c r="X38" i="198"/>
  <c r="W38" i="198"/>
  <c r="V38" i="198"/>
  <c r="U38" i="198"/>
  <c r="O38" i="198"/>
  <c r="M38" i="198"/>
  <c r="N38" i="198" s="1"/>
  <c r="K38" i="198"/>
  <c r="G38" i="198"/>
  <c r="V37" i="198"/>
  <c r="M37" i="198" s="1"/>
  <c r="U37" i="198"/>
  <c r="O37" i="198"/>
  <c r="K37" i="198"/>
  <c r="G37" i="198"/>
  <c r="V36" i="198"/>
  <c r="U36" i="198"/>
  <c r="O36" i="198"/>
  <c r="M36" i="198"/>
  <c r="K36" i="198"/>
  <c r="G36" i="198"/>
  <c r="V35" i="198"/>
  <c r="M35" i="198" s="1"/>
  <c r="N35" i="198" s="1"/>
  <c r="U35" i="198"/>
  <c r="O35" i="198"/>
  <c r="K35" i="198"/>
  <c r="G35" i="198"/>
  <c r="X34" i="198"/>
  <c r="W34" i="198"/>
  <c r="V34" i="198"/>
  <c r="O34" i="198"/>
  <c r="N34" i="198"/>
  <c r="P34" i="198" s="1"/>
  <c r="M34" i="198"/>
  <c r="K34" i="198"/>
  <c r="G34" i="198"/>
  <c r="AD33" i="198"/>
  <c r="G21" i="197" s="1"/>
  <c r="Z33" i="198"/>
  <c r="Y33" i="198"/>
  <c r="O33" i="198"/>
  <c r="K33" i="198"/>
  <c r="V32" i="198"/>
  <c r="U32" i="198"/>
  <c r="O32" i="198"/>
  <c r="M32" i="198"/>
  <c r="AF32" i="198" s="1"/>
  <c r="K32" i="198"/>
  <c r="G32" i="198"/>
  <c r="X31" i="198"/>
  <c r="W31" i="198"/>
  <c r="V31" i="198"/>
  <c r="U31" i="198"/>
  <c r="O31" i="198"/>
  <c r="M31" i="198"/>
  <c r="AE31" i="198" s="1"/>
  <c r="K31" i="198"/>
  <c r="G31" i="198"/>
  <c r="AF30" i="198"/>
  <c r="AE30" i="198"/>
  <c r="V30" i="198"/>
  <c r="M30" i="198" s="1"/>
  <c r="U30" i="198"/>
  <c r="O30" i="198"/>
  <c r="N30" i="198"/>
  <c r="P30" i="198" s="1"/>
  <c r="K30" i="198"/>
  <c r="G30" i="198"/>
  <c r="V29" i="198"/>
  <c r="U29" i="198"/>
  <c r="O29" i="198"/>
  <c r="M29" i="198"/>
  <c r="K29" i="198"/>
  <c r="G29" i="198"/>
  <c r="AF28" i="198"/>
  <c r="AE28" i="198"/>
  <c r="V28" i="198"/>
  <c r="M28" i="198" s="1"/>
  <c r="N28" i="198" s="1"/>
  <c r="Q28" i="198" s="1"/>
  <c r="U28" i="198"/>
  <c r="O28" i="198"/>
  <c r="K28" i="198"/>
  <c r="G28" i="198"/>
  <c r="V27" i="198"/>
  <c r="U27" i="198"/>
  <c r="O27" i="198"/>
  <c r="M27" i="198"/>
  <c r="N27" i="198" s="1"/>
  <c r="K27" i="198"/>
  <c r="G27" i="198"/>
  <c r="AF26" i="198"/>
  <c r="AE26" i="198"/>
  <c r="V26" i="198"/>
  <c r="M26" i="198" s="1"/>
  <c r="O26" i="198"/>
  <c r="K26" i="198"/>
  <c r="G26" i="198"/>
  <c r="AD25" i="198"/>
  <c r="F21" i="197" s="1"/>
  <c r="Z25" i="198"/>
  <c r="F19" i="197" s="1"/>
  <c r="Y25" i="198"/>
  <c r="F18" i="197" s="1"/>
  <c r="O25" i="198"/>
  <c r="K25" i="198"/>
  <c r="F13" i="197" s="1"/>
  <c r="G6" i="197" s="1"/>
  <c r="AF24" i="198"/>
  <c r="V24" i="198"/>
  <c r="U24" i="198"/>
  <c r="O24" i="198"/>
  <c r="M24" i="198"/>
  <c r="AE24" i="198" s="1"/>
  <c r="K24" i="198"/>
  <c r="G24" i="198"/>
  <c r="X23" i="198"/>
  <c r="W23" i="198"/>
  <c r="V23" i="198"/>
  <c r="M23" i="198" s="1"/>
  <c r="AF23" i="198" s="1"/>
  <c r="U23" i="198"/>
  <c r="O23" i="198"/>
  <c r="N23" i="198"/>
  <c r="P23" i="198" s="1"/>
  <c r="K23" i="198"/>
  <c r="G23" i="198"/>
  <c r="V22" i="198"/>
  <c r="U22" i="198"/>
  <c r="O22" i="198"/>
  <c r="M22" i="198"/>
  <c r="N22" i="198" s="1"/>
  <c r="K22" i="198"/>
  <c r="G22" i="198"/>
  <c r="AF21" i="198"/>
  <c r="AE21" i="198"/>
  <c r="V21" i="198"/>
  <c r="M21" i="198" s="1"/>
  <c r="N21" i="198" s="1"/>
  <c r="U21" i="198"/>
  <c r="Q21" i="198"/>
  <c r="P21" i="198"/>
  <c r="O21" i="198"/>
  <c r="K21" i="198"/>
  <c r="G21" i="198"/>
  <c r="V20" i="198"/>
  <c r="U20" i="198"/>
  <c r="O20" i="198"/>
  <c r="N20" i="198"/>
  <c r="P20" i="198" s="1"/>
  <c r="M20" i="198"/>
  <c r="K20" i="198"/>
  <c r="G20" i="198"/>
  <c r="AF19" i="198"/>
  <c r="AE19" i="198"/>
  <c r="V19" i="198"/>
  <c r="M19" i="198" s="1"/>
  <c r="N19" i="198" s="1"/>
  <c r="U19" i="198"/>
  <c r="O19" i="198"/>
  <c r="K19" i="198"/>
  <c r="G19" i="198"/>
  <c r="V18" i="198"/>
  <c r="U18" i="198"/>
  <c r="O18" i="198"/>
  <c r="M18" i="198"/>
  <c r="AF18" i="198" s="1"/>
  <c r="K18" i="198"/>
  <c r="G18" i="198"/>
  <c r="AF17" i="198"/>
  <c r="X17" i="198"/>
  <c r="W17" i="198"/>
  <c r="V17" i="198"/>
  <c r="O17" i="198"/>
  <c r="N17" i="198"/>
  <c r="M17" i="198"/>
  <c r="AE17" i="198" s="1"/>
  <c r="K17" i="198"/>
  <c r="G17" i="198"/>
  <c r="AD16" i="198"/>
  <c r="E21" i="197" s="1"/>
  <c r="Z16" i="198"/>
  <c r="E19" i="197" s="1"/>
  <c r="Y16" i="198"/>
  <c r="E18" i="197" s="1"/>
  <c r="O16" i="198"/>
  <c r="K16" i="198"/>
  <c r="V15" i="198"/>
  <c r="U15" i="198"/>
  <c r="P15" i="198"/>
  <c r="O15" i="198"/>
  <c r="N15" i="198"/>
  <c r="Q15" i="198" s="1"/>
  <c r="M15" i="198"/>
  <c r="K15" i="198"/>
  <c r="G15" i="198"/>
  <c r="V14" i="198"/>
  <c r="M14" i="198" s="1"/>
  <c r="N14" i="198" s="1"/>
  <c r="U14" i="198"/>
  <c r="Q14" i="198"/>
  <c r="P14" i="198"/>
  <c r="O14" i="198"/>
  <c r="K14" i="198"/>
  <c r="G14" i="198"/>
  <c r="X13" i="198"/>
  <c r="W13" i="198"/>
  <c r="V13" i="198"/>
  <c r="M13" i="198" s="1"/>
  <c r="U13" i="198"/>
  <c r="O13" i="198"/>
  <c r="K13" i="198"/>
  <c r="G13" i="198"/>
  <c r="AF12" i="198"/>
  <c r="AE12" i="198"/>
  <c r="V12" i="198"/>
  <c r="U12" i="198"/>
  <c r="O12" i="198"/>
  <c r="N12" i="198"/>
  <c r="Q12" i="198" s="1"/>
  <c r="M12" i="198"/>
  <c r="K12" i="198"/>
  <c r="G12" i="198"/>
  <c r="V11" i="198"/>
  <c r="M11" i="198" s="1"/>
  <c r="U11" i="198"/>
  <c r="O11" i="198"/>
  <c r="K11" i="198"/>
  <c r="G11" i="198"/>
  <c r="X10" i="198"/>
  <c r="W10" i="198"/>
  <c r="V10" i="198"/>
  <c r="O10" i="198"/>
  <c r="M10" i="198"/>
  <c r="N10" i="198" s="1"/>
  <c r="K10" i="198"/>
  <c r="G10" i="198"/>
  <c r="AD9" i="198"/>
  <c r="D21" i="197" s="1"/>
  <c r="Z9" i="198"/>
  <c r="D19" i="197" s="1"/>
  <c r="Y9" i="198"/>
  <c r="Y2" i="198" s="1"/>
  <c r="K6" i="197" s="1"/>
  <c r="O9" i="198"/>
  <c r="K9" i="198"/>
  <c r="V8" i="198"/>
  <c r="U8" i="198"/>
  <c r="O8" i="198"/>
  <c r="M8" i="198"/>
  <c r="K8" i="198"/>
  <c r="G8" i="198"/>
  <c r="AF7" i="198"/>
  <c r="AE7" i="198"/>
  <c r="X7" i="198"/>
  <c r="W7" i="198"/>
  <c r="V7" i="198"/>
  <c r="U7" i="198"/>
  <c r="O7" i="198"/>
  <c r="N7" i="198"/>
  <c r="Q7" i="198" s="1"/>
  <c r="M7" i="198"/>
  <c r="K7" i="198"/>
  <c r="G7" i="198"/>
  <c r="V6" i="198"/>
  <c r="U6" i="198"/>
  <c r="O6" i="198"/>
  <c r="M6" i="198"/>
  <c r="AF6" i="198" s="1"/>
  <c r="K6" i="198"/>
  <c r="G6" i="198"/>
  <c r="V5" i="198"/>
  <c r="O5" i="198"/>
  <c r="M5" i="198"/>
  <c r="N5" i="198" s="1"/>
  <c r="K5" i="198"/>
  <c r="G5" i="198"/>
  <c r="F1" i="198" s="1"/>
  <c r="AD2" i="198"/>
  <c r="N6" i="197" s="1"/>
  <c r="Z2" i="198"/>
  <c r="L6" i="197" s="1"/>
  <c r="H2" i="198"/>
  <c r="H1" i="198"/>
  <c r="D1" i="198"/>
  <c r="M22" i="197"/>
  <c r="L22" i="197"/>
  <c r="K22" i="197"/>
  <c r="J22" i="197"/>
  <c r="I22" i="197"/>
  <c r="H22" i="197"/>
  <c r="G22" i="197"/>
  <c r="F22" i="197"/>
  <c r="E22" i="197"/>
  <c r="D22" i="197"/>
  <c r="M21" i="197"/>
  <c r="L21" i="197"/>
  <c r="K21" i="197"/>
  <c r="J21" i="197"/>
  <c r="I21" i="197"/>
  <c r="M20" i="197"/>
  <c r="L20" i="197"/>
  <c r="K20" i="197"/>
  <c r="J20" i="197"/>
  <c r="I20" i="197"/>
  <c r="H20" i="197"/>
  <c r="G20" i="197"/>
  <c r="F20" i="197"/>
  <c r="E20" i="197"/>
  <c r="D20" i="197"/>
  <c r="M19" i="197"/>
  <c r="L19" i="197"/>
  <c r="K19" i="197"/>
  <c r="J19" i="197"/>
  <c r="I19" i="197"/>
  <c r="G19" i="197"/>
  <c r="I18" i="197"/>
  <c r="G18" i="197"/>
  <c r="M17" i="197"/>
  <c r="L17" i="197"/>
  <c r="K17" i="197"/>
  <c r="J17" i="197"/>
  <c r="I17" i="197"/>
  <c r="H17" i="197"/>
  <c r="G17" i="197"/>
  <c r="F17" i="197"/>
  <c r="E17" i="197"/>
  <c r="D17" i="197"/>
  <c r="M16" i="197"/>
  <c r="L16" i="197"/>
  <c r="K16" i="197"/>
  <c r="J16" i="197"/>
  <c r="I16" i="197"/>
  <c r="H16" i="197"/>
  <c r="G16" i="197"/>
  <c r="F16" i="197"/>
  <c r="E16" i="197"/>
  <c r="D16" i="197"/>
  <c r="H15" i="197"/>
  <c r="L13" i="197"/>
  <c r="K13" i="197"/>
  <c r="I13" i="197"/>
  <c r="H13" i="197"/>
  <c r="G13" i="197"/>
  <c r="E13" i="197"/>
  <c r="D13" i="197"/>
  <c r="M6" i="197"/>
  <c r="F3" i="197"/>
  <c r="C3" i="197"/>
  <c r="G8" i="207" l="1"/>
  <c r="F8" i="207"/>
  <c r="E8" i="207"/>
  <c r="G8" i="205"/>
  <c r="F8" i="205"/>
  <c r="E7" i="205"/>
  <c r="I7" i="205"/>
  <c r="K15" i="205"/>
  <c r="I8" i="205" s="1"/>
  <c r="F7" i="205"/>
  <c r="G7" i="205"/>
  <c r="Q24" i="202"/>
  <c r="R16" i="202" s="1"/>
  <c r="P24" i="202"/>
  <c r="F14" i="201"/>
  <c r="F15" i="201" s="1"/>
  <c r="D14" i="201"/>
  <c r="P9" i="202"/>
  <c r="D2" i="202"/>
  <c r="Q9" i="202"/>
  <c r="R5" i="202" s="1"/>
  <c r="Q75" i="202"/>
  <c r="R71" i="202" s="1"/>
  <c r="P75" i="202"/>
  <c r="J14" i="201"/>
  <c r="J15" i="201" s="1"/>
  <c r="L14" i="201"/>
  <c r="L15" i="201" s="1"/>
  <c r="Q53" i="202"/>
  <c r="R43" i="202" s="1"/>
  <c r="P53" i="202"/>
  <c r="P85" i="202"/>
  <c r="Q85" i="202"/>
  <c r="R76" i="202" s="1"/>
  <c r="M14" i="201"/>
  <c r="M15" i="201" s="1"/>
  <c r="Q15" i="202"/>
  <c r="R10" i="202" s="1"/>
  <c r="E14" i="201"/>
  <c r="E15" i="201" s="1"/>
  <c r="P15" i="202"/>
  <c r="Q59" i="202"/>
  <c r="R54" i="202" s="1"/>
  <c r="P59" i="202"/>
  <c r="H14" i="201"/>
  <c r="H15" i="201" s="1"/>
  <c r="K14" i="201"/>
  <c r="Q42" i="202"/>
  <c r="R33" i="202" s="1"/>
  <c r="P42" i="202"/>
  <c r="G14" i="201"/>
  <c r="G15" i="201" s="1"/>
  <c r="Q32" i="202"/>
  <c r="R25" i="202" s="1"/>
  <c r="P32" i="202"/>
  <c r="I14" i="201"/>
  <c r="I15" i="201" s="1"/>
  <c r="Q70" i="202"/>
  <c r="R60" i="202" s="1"/>
  <c r="P70" i="202"/>
  <c r="N42" i="200"/>
  <c r="AF42" i="200"/>
  <c r="AG34" i="200" s="1"/>
  <c r="AE42" i="200"/>
  <c r="N9" i="200"/>
  <c r="AE9" i="200"/>
  <c r="AF9" i="200"/>
  <c r="AG5" i="200" s="1"/>
  <c r="N33" i="200"/>
  <c r="AF33" i="200"/>
  <c r="AG26" i="200" s="1"/>
  <c r="AE33" i="200"/>
  <c r="N16" i="200"/>
  <c r="AF16" i="200"/>
  <c r="AG10" i="200" s="1"/>
  <c r="AE16" i="200"/>
  <c r="P72" i="200"/>
  <c r="Q72" i="200"/>
  <c r="L14" i="199"/>
  <c r="L15" i="199" s="1"/>
  <c r="Q51" i="200"/>
  <c r="R43" i="200" s="1"/>
  <c r="P51" i="200"/>
  <c r="P50" i="200"/>
  <c r="Q50" i="200"/>
  <c r="Q36" i="200"/>
  <c r="P36" i="200"/>
  <c r="Q31" i="200"/>
  <c r="P31" i="200"/>
  <c r="Q17" i="200"/>
  <c r="P17" i="200"/>
  <c r="Q5" i="200"/>
  <c r="P5" i="200"/>
  <c r="Q78" i="200"/>
  <c r="P78" i="200"/>
  <c r="Q73" i="200"/>
  <c r="P73" i="200"/>
  <c r="Q59" i="200"/>
  <c r="P59" i="200"/>
  <c r="Q24" i="200"/>
  <c r="P24" i="200"/>
  <c r="AF80" i="200"/>
  <c r="AG72" i="200" s="1"/>
  <c r="AE80" i="200"/>
  <c r="N80" i="200"/>
  <c r="AF66" i="200"/>
  <c r="AG57" i="200" s="1"/>
  <c r="AE66" i="200"/>
  <c r="N66" i="200"/>
  <c r="P57" i="200"/>
  <c r="Q57" i="200"/>
  <c r="P48" i="200"/>
  <c r="Q48" i="200"/>
  <c r="P43" i="200"/>
  <c r="Q43" i="200"/>
  <c r="Q33" i="200"/>
  <c r="R26" i="200" s="1"/>
  <c r="P33" i="200"/>
  <c r="G14" i="199"/>
  <c r="G15" i="199" s="1"/>
  <c r="Q26" i="200"/>
  <c r="P26" i="200"/>
  <c r="P43" i="198"/>
  <c r="Q43" i="198"/>
  <c r="AE62" i="198"/>
  <c r="AF62" i="198"/>
  <c r="N62" i="198"/>
  <c r="Q79" i="198"/>
  <c r="P79" i="198"/>
  <c r="Q35" i="198"/>
  <c r="P35" i="198"/>
  <c r="Q41" i="198"/>
  <c r="P41" i="198"/>
  <c r="AF44" i="198"/>
  <c r="AE44" i="198"/>
  <c r="N44" i="198"/>
  <c r="AE76" i="198"/>
  <c r="AF76" i="198"/>
  <c r="N76" i="198"/>
  <c r="AF37" i="198"/>
  <c r="N37" i="198"/>
  <c r="AE37" i="198"/>
  <c r="Q22" i="198"/>
  <c r="P22" i="198"/>
  <c r="Q5" i="198"/>
  <c r="P5" i="198"/>
  <c r="P57" i="198"/>
  <c r="Q57" i="198"/>
  <c r="AF13" i="198"/>
  <c r="AE13" i="198"/>
  <c r="N13" i="198"/>
  <c r="F2" i="198"/>
  <c r="I3" i="197"/>
  <c r="Q27" i="198"/>
  <c r="P27" i="198"/>
  <c r="Q64" i="198"/>
  <c r="P64" i="198"/>
  <c r="N67" i="198"/>
  <c r="AE67" i="198"/>
  <c r="AF67" i="198"/>
  <c r="M71" i="198"/>
  <c r="Q10" i="198"/>
  <c r="P10" i="198"/>
  <c r="AF58" i="198"/>
  <c r="AE58" i="198"/>
  <c r="M66" i="198"/>
  <c r="N58" i="198"/>
  <c r="N11" i="198"/>
  <c r="AE11" i="198"/>
  <c r="AF11" i="198"/>
  <c r="F6" i="197"/>
  <c r="AF60" i="198"/>
  <c r="N60" i="198"/>
  <c r="AE60" i="198"/>
  <c r="AF22" i="198"/>
  <c r="AE22" i="198"/>
  <c r="AF20" i="198"/>
  <c r="AE20" i="198"/>
  <c r="N31" i="198"/>
  <c r="P53" i="198"/>
  <c r="N65" i="198"/>
  <c r="N74" i="198"/>
  <c r="AF63" i="198"/>
  <c r="AE49" i="198"/>
  <c r="AE79" i="198"/>
  <c r="AF31" i="198"/>
  <c r="AF8" i="198"/>
  <c r="AE8" i="198"/>
  <c r="AE18" i="198"/>
  <c r="N32" i="198"/>
  <c r="Q34" i="198"/>
  <c r="AE45" i="198"/>
  <c r="AF47" i="198"/>
  <c r="AE54" i="198"/>
  <c r="AE68" i="198"/>
  <c r="AE14" i="198"/>
  <c r="AE77" i="198"/>
  <c r="AF14" i="198"/>
  <c r="P28" i="198"/>
  <c r="AF48" i="198"/>
  <c r="AE48" i="198"/>
  <c r="AF75" i="198"/>
  <c r="AF77" i="198"/>
  <c r="M80" i="198"/>
  <c r="Q61" i="198"/>
  <c r="P61" i="198"/>
  <c r="D18" i="197"/>
  <c r="N6" i="198"/>
  <c r="Q23" i="198"/>
  <c r="AE47" i="198"/>
  <c r="AF64" i="198"/>
  <c r="AE64" i="198"/>
  <c r="Q68" i="198"/>
  <c r="P68" i="198"/>
  <c r="N8" i="198"/>
  <c r="Q30" i="198"/>
  <c r="AE75" i="198"/>
  <c r="Q17" i="198"/>
  <c r="P17" i="198"/>
  <c r="AE23" i="198"/>
  <c r="AE39" i="198"/>
  <c r="AF39" i="198"/>
  <c r="AE46" i="198"/>
  <c r="AF46" i="198"/>
  <c r="P48" i="198"/>
  <c r="Q48" i="198"/>
  <c r="AF55" i="198"/>
  <c r="AE55" i="198"/>
  <c r="AE69" i="198"/>
  <c r="AF69" i="198"/>
  <c r="N18" i="198"/>
  <c r="Q20" i="198"/>
  <c r="M25" i="198"/>
  <c r="AF35" i="198"/>
  <c r="Q38" i="198"/>
  <c r="P38" i="198"/>
  <c r="Q49" i="198"/>
  <c r="M42" i="198"/>
  <c r="AE34" i="198"/>
  <c r="AF34" i="198"/>
  <c r="AE65" i="198"/>
  <c r="AE74" i="198"/>
  <c r="AF56" i="198"/>
  <c r="AG52" i="198" s="1"/>
  <c r="AF70" i="198"/>
  <c r="AF72" i="198"/>
  <c r="AE41" i="198"/>
  <c r="AF41" i="198"/>
  <c r="AF45" i="198"/>
  <c r="AF54" i="198"/>
  <c r="AF57" i="198"/>
  <c r="AE57" i="198"/>
  <c r="AF68" i="198"/>
  <c r="Q75" i="198"/>
  <c r="P75" i="198"/>
  <c r="AF79" i="198"/>
  <c r="AE6" i="198"/>
  <c r="Q19" i="198"/>
  <c r="P19" i="198"/>
  <c r="AF29" i="198"/>
  <c r="AE29" i="198"/>
  <c r="N29" i="198"/>
  <c r="Q63" i="198"/>
  <c r="AF27" i="198"/>
  <c r="AE27" i="198"/>
  <c r="M16" i="198"/>
  <c r="AF10" i="198"/>
  <c r="AE10" i="198"/>
  <c r="AF36" i="198"/>
  <c r="AE36" i="198"/>
  <c r="N36" i="198"/>
  <c r="AE70" i="198"/>
  <c r="AE72" i="198"/>
  <c r="AF40" i="198"/>
  <c r="AF43" i="198"/>
  <c r="AE43" i="198"/>
  <c r="AE61" i="198"/>
  <c r="AF61" i="198"/>
  <c r="E6" i="197"/>
  <c r="AF15" i="198"/>
  <c r="AE15" i="198"/>
  <c r="AE32" i="198"/>
  <c r="M51" i="198"/>
  <c r="AF78" i="198"/>
  <c r="AE78" i="198"/>
  <c r="AF5" i="198"/>
  <c r="AE5" i="198"/>
  <c r="M9" i="198"/>
  <c r="AE35" i="198"/>
  <c r="AE63" i="198"/>
  <c r="Q45" i="198"/>
  <c r="P45" i="198"/>
  <c r="N26" i="198"/>
  <c r="M33" i="198"/>
  <c r="AE53" i="198"/>
  <c r="AF53" i="198"/>
  <c r="N78" i="198"/>
  <c r="N24" i="198"/>
  <c r="N59" i="198"/>
  <c r="N73" i="198"/>
  <c r="P7" i="198"/>
  <c r="P12" i="198"/>
  <c r="P52" i="198"/>
  <c r="N50" i="198"/>
  <c r="AE50" i="198"/>
  <c r="AD71" i="196"/>
  <c r="Z71" i="196"/>
  <c r="Y71" i="196"/>
  <c r="O71" i="196"/>
  <c r="K71" i="196"/>
  <c r="M13" i="195" s="1"/>
  <c r="V70" i="196"/>
  <c r="U70" i="196"/>
  <c r="O70" i="196"/>
  <c r="M70" i="196"/>
  <c r="N70" i="196" s="1"/>
  <c r="K70" i="196"/>
  <c r="G70" i="196"/>
  <c r="X69" i="196"/>
  <c r="W69" i="196"/>
  <c r="V69" i="196"/>
  <c r="U69" i="196"/>
  <c r="O69" i="196"/>
  <c r="M69" i="196"/>
  <c r="AF69" i="196" s="1"/>
  <c r="K69" i="196"/>
  <c r="G69" i="196"/>
  <c r="AF68" i="196"/>
  <c r="AE68" i="196"/>
  <c r="V68" i="196"/>
  <c r="M68" i="196" s="1"/>
  <c r="N68" i="196" s="1"/>
  <c r="P68" i="196" s="1"/>
  <c r="U68" i="196"/>
  <c r="Q68" i="196"/>
  <c r="O68" i="196"/>
  <c r="K68" i="196"/>
  <c r="G68" i="196"/>
  <c r="V67" i="196"/>
  <c r="U67" i="196"/>
  <c r="O67" i="196"/>
  <c r="M67" i="196"/>
  <c r="K67" i="196"/>
  <c r="G67" i="196"/>
  <c r="V66" i="196"/>
  <c r="M66" i="196" s="1"/>
  <c r="N66" i="196" s="1"/>
  <c r="U66" i="196"/>
  <c r="O66" i="196"/>
  <c r="K66" i="196"/>
  <c r="G66" i="196"/>
  <c r="X65" i="196"/>
  <c r="W65" i="196"/>
  <c r="V65" i="196"/>
  <c r="O65" i="196"/>
  <c r="M65" i="196"/>
  <c r="K65" i="196"/>
  <c r="G65" i="196"/>
  <c r="AD64" i="196"/>
  <c r="Z64" i="196"/>
  <c r="Y64" i="196"/>
  <c r="J18" i="195" s="1"/>
  <c r="O64" i="196"/>
  <c r="K64" i="196"/>
  <c r="V63" i="196"/>
  <c r="M63" i="196" s="1"/>
  <c r="N63" i="196" s="1"/>
  <c r="Q63" i="196" s="1"/>
  <c r="U63" i="196"/>
  <c r="P63" i="196"/>
  <c r="O63" i="196"/>
  <c r="K63" i="196"/>
  <c r="G63" i="196"/>
  <c r="V62" i="196"/>
  <c r="U62" i="196"/>
  <c r="O62" i="196"/>
  <c r="M62" i="196"/>
  <c r="AF62" i="196" s="1"/>
  <c r="K62" i="196"/>
  <c r="G62" i="196"/>
  <c r="V61" i="196"/>
  <c r="M61" i="196" s="1"/>
  <c r="N61" i="196" s="1"/>
  <c r="P61" i="196" s="1"/>
  <c r="U61" i="196"/>
  <c r="Q61" i="196"/>
  <c r="O61" i="196"/>
  <c r="K61" i="196"/>
  <c r="G61" i="196"/>
  <c r="V60" i="196"/>
  <c r="O60" i="196"/>
  <c r="M60" i="196"/>
  <c r="N60" i="196" s="1"/>
  <c r="K60" i="196"/>
  <c r="G60" i="196"/>
  <c r="AD59" i="196"/>
  <c r="Z59" i="196"/>
  <c r="Y59" i="196"/>
  <c r="O59" i="196"/>
  <c r="K59" i="196"/>
  <c r="V58" i="196"/>
  <c r="U58" i="196"/>
  <c r="O58" i="196"/>
  <c r="M58" i="196"/>
  <c r="K58" i="196"/>
  <c r="G58" i="196"/>
  <c r="X57" i="196"/>
  <c r="W57" i="196"/>
  <c r="V57" i="196"/>
  <c r="U57" i="196"/>
  <c r="O57" i="196"/>
  <c r="M57" i="196"/>
  <c r="AF57" i="196" s="1"/>
  <c r="K57" i="196"/>
  <c r="G57" i="196"/>
  <c r="V56" i="196"/>
  <c r="M56" i="196" s="1"/>
  <c r="N56" i="196" s="1"/>
  <c r="U56" i="196"/>
  <c r="Q56" i="196"/>
  <c r="P56" i="196"/>
  <c r="O56" i="196"/>
  <c r="K56" i="196"/>
  <c r="G56" i="196"/>
  <c r="V55" i="196"/>
  <c r="U55" i="196"/>
  <c r="O55" i="196"/>
  <c r="M55" i="196"/>
  <c r="K55" i="196"/>
  <c r="G55" i="196"/>
  <c r="AF54" i="196"/>
  <c r="V54" i="196"/>
  <c r="M54" i="196" s="1"/>
  <c r="N54" i="196" s="1"/>
  <c r="P54" i="196" s="1"/>
  <c r="U54" i="196"/>
  <c r="Q54" i="196"/>
  <c r="O54" i="196"/>
  <c r="K54" i="196"/>
  <c r="G54" i="196"/>
  <c r="V53" i="196"/>
  <c r="U53" i="196"/>
  <c r="O53" i="196"/>
  <c r="N53" i="196"/>
  <c r="M53" i="196"/>
  <c r="K53" i="196"/>
  <c r="G53" i="196"/>
  <c r="V52" i="196"/>
  <c r="M52" i="196" s="1"/>
  <c r="N52" i="196" s="1"/>
  <c r="U52" i="196"/>
  <c r="O52" i="196"/>
  <c r="K52" i="196"/>
  <c r="G52" i="196"/>
  <c r="V51" i="196"/>
  <c r="U51" i="196"/>
  <c r="O51" i="196"/>
  <c r="M51" i="196"/>
  <c r="N51" i="196" s="1"/>
  <c r="K51" i="196"/>
  <c r="G51" i="196"/>
  <c r="V50" i="196"/>
  <c r="O50" i="196"/>
  <c r="M50" i="196"/>
  <c r="AF50" i="196" s="1"/>
  <c r="K50" i="196"/>
  <c r="G50" i="196"/>
  <c r="AD49" i="196"/>
  <c r="H21" i="195" s="1"/>
  <c r="Z49" i="196"/>
  <c r="H19" i="195" s="1"/>
  <c r="Y49" i="196"/>
  <c r="H18" i="195" s="1"/>
  <c r="O49" i="196"/>
  <c r="K49" i="196"/>
  <c r="V48" i="196"/>
  <c r="U48" i="196"/>
  <c r="O48" i="196"/>
  <c r="M48" i="196"/>
  <c r="AF48" i="196" s="1"/>
  <c r="K48" i="196"/>
  <c r="G48" i="196"/>
  <c r="V47" i="196"/>
  <c r="M47" i="196" s="1"/>
  <c r="N47" i="196" s="1"/>
  <c r="Q47" i="196" s="1"/>
  <c r="U47" i="196"/>
  <c r="P47" i="196"/>
  <c r="O47" i="196"/>
  <c r="K47" i="196"/>
  <c r="G47" i="196"/>
  <c r="V46" i="196"/>
  <c r="U46" i="196"/>
  <c r="O46" i="196"/>
  <c r="M46" i="196"/>
  <c r="K46" i="196"/>
  <c r="G46" i="196"/>
  <c r="V45" i="196"/>
  <c r="M45" i="196" s="1"/>
  <c r="AF45" i="196" s="1"/>
  <c r="O45" i="196"/>
  <c r="K45" i="196"/>
  <c r="G45" i="196"/>
  <c r="AD44" i="196"/>
  <c r="Z44" i="196"/>
  <c r="L19" i="195" s="1"/>
  <c r="Y44" i="196"/>
  <c r="O44" i="196"/>
  <c r="K44" i="196"/>
  <c r="L13" i="195" s="1"/>
  <c r="AF43" i="196"/>
  <c r="AE43" i="196"/>
  <c r="V43" i="196"/>
  <c r="U43" i="196"/>
  <c r="O43" i="196"/>
  <c r="M43" i="196"/>
  <c r="N43" i="196" s="1"/>
  <c r="K43" i="196"/>
  <c r="G43" i="196"/>
  <c r="X42" i="196"/>
  <c r="W42" i="196"/>
  <c r="V42" i="196"/>
  <c r="U42" i="196"/>
  <c r="O42" i="196"/>
  <c r="M42" i="196"/>
  <c r="N42" i="196" s="1"/>
  <c r="K42" i="196"/>
  <c r="G42" i="196"/>
  <c r="V41" i="196"/>
  <c r="U41" i="196"/>
  <c r="O41" i="196"/>
  <c r="M41" i="196"/>
  <c r="AF41" i="196" s="1"/>
  <c r="K41" i="196"/>
  <c r="G41" i="196"/>
  <c r="V40" i="196"/>
  <c r="M40" i="196" s="1"/>
  <c r="N40" i="196" s="1"/>
  <c r="Q40" i="196" s="1"/>
  <c r="U40" i="196"/>
  <c r="O40" i="196"/>
  <c r="K40" i="196"/>
  <c r="G40" i="196"/>
  <c r="V39" i="196"/>
  <c r="U39" i="196"/>
  <c r="O39" i="196"/>
  <c r="M39" i="196"/>
  <c r="K39" i="196"/>
  <c r="G39" i="196"/>
  <c r="AF38" i="196"/>
  <c r="AE38" i="196"/>
  <c r="X38" i="196"/>
  <c r="W38" i="196"/>
  <c r="V38" i="196"/>
  <c r="O38" i="196"/>
  <c r="M38" i="196"/>
  <c r="N38" i="196" s="1"/>
  <c r="K38" i="196"/>
  <c r="G38" i="196"/>
  <c r="AD37" i="196"/>
  <c r="K21" i="195" s="1"/>
  <c r="Z37" i="196"/>
  <c r="K19" i="195" s="1"/>
  <c r="Y37" i="196"/>
  <c r="K18" i="195" s="1"/>
  <c r="O37" i="196"/>
  <c r="K37" i="196"/>
  <c r="K13" i="195" s="1"/>
  <c r="I6" i="195" s="1"/>
  <c r="V36" i="196"/>
  <c r="U36" i="196"/>
  <c r="O36" i="196"/>
  <c r="M36" i="196"/>
  <c r="AF36" i="196" s="1"/>
  <c r="K36" i="196"/>
  <c r="G36" i="196"/>
  <c r="AE35" i="196"/>
  <c r="X35" i="196"/>
  <c r="W35" i="196"/>
  <c r="V35" i="196"/>
  <c r="M35" i="196" s="1"/>
  <c r="U35" i="196"/>
  <c r="O35" i="196"/>
  <c r="K35" i="196"/>
  <c r="G35" i="196"/>
  <c r="V34" i="196"/>
  <c r="U34" i="196"/>
  <c r="O34" i="196"/>
  <c r="M34" i="196"/>
  <c r="K34" i="196"/>
  <c r="G34" i="196"/>
  <c r="V33" i="196"/>
  <c r="M33" i="196" s="1"/>
  <c r="N33" i="196" s="1"/>
  <c r="P33" i="196" s="1"/>
  <c r="U33" i="196"/>
  <c r="Q33" i="196"/>
  <c r="O33" i="196"/>
  <c r="K33" i="196"/>
  <c r="G33" i="196"/>
  <c r="V32" i="196"/>
  <c r="U32" i="196"/>
  <c r="O32" i="196"/>
  <c r="M32" i="196"/>
  <c r="K32" i="196"/>
  <c r="G32" i="196"/>
  <c r="AF31" i="196"/>
  <c r="AE31" i="196"/>
  <c r="X31" i="196"/>
  <c r="W31" i="196"/>
  <c r="V31" i="196"/>
  <c r="O31" i="196"/>
  <c r="M31" i="196"/>
  <c r="N31" i="196" s="1"/>
  <c r="K31" i="196"/>
  <c r="G31" i="196"/>
  <c r="AD30" i="196"/>
  <c r="G21" i="195" s="1"/>
  <c r="Z30" i="196"/>
  <c r="Y30" i="196"/>
  <c r="G18" i="195" s="1"/>
  <c r="O30" i="196"/>
  <c r="K30" i="196"/>
  <c r="V29" i="196"/>
  <c r="U29" i="196"/>
  <c r="O29" i="196"/>
  <c r="M29" i="196"/>
  <c r="AF29" i="196" s="1"/>
  <c r="K29" i="196"/>
  <c r="G29" i="196"/>
  <c r="X28" i="196"/>
  <c r="W28" i="196"/>
  <c r="V28" i="196"/>
  <c r="M28" i="196" s="1"/>
  <c r="N28" i="196" s="1"/>
  <c r="P28" i="196" s="1"/>
  <c r="U28" i="196"/>
  <c r="Q28" i="196"/>
  <c r="O28" i="196"/>
  <c r="K28" i="196"/>
  <c r="G28" i="196"/>
  <c r="V27" i="196"/>
  <c r="U27" i="196"/>
  <c r="O27" i="196"/>
  <c r="M27" i="196"/>
  <c r="K27" i="196"/>
  <c r="G27" i="196"/>
  <c r="V26" i="196"/>
  <c r="M26" i="196" s="1"/>
  <c r="N26" i="196" s="1"/>
  <c r="U26" i="196"/>
  <c r="O26" i="196"/>
  <c r="K26" i="196"/>
  <c r="G26" i="196"/>
  <c r="V25" i="196"/>
  <c r="U25" i="196"/>
  <c r="O25" i="196"/>
  <c r="M25" i="196"/>
  <c r="K25" i="196"/>
  <c r="G25" i="196"/>
  <c r="AF24" i="196"/>
  <c r="V24" i="196"/>
  <c r="U24" i="196"/>
  <c r="O24" i="196"/>
  <c r="N24" i="196"/>
  <c r="Q24" i="196" s="1"/>
  <c r="M24" i="196"/>
  <c r="AE24" i="196" s="1"/>
  <c r="K24" i="196"/>
  <c r="G24" i="196"/>
  <c r="V23" i="196"/>
  <c r="M23" i="196" s="1"/>
  <c r="O23" i="196"/>
  <c r="K23" i="196"/>
  <c r="G23" i="196"/>
  <c r="AD22" i="196"/>
  <c r="Z22" i="196"/>
  <c r="Y22" i="196"/>
  <c r="F18" i="195" s="1"/>
  <c r="O22" i="196"/>
  <c r="K22" i="196"/>
  <c r="F13" i="195" s="1"/>
  <c r="V21" i="196"/>
  <c r="M21" i="196" s="1"/>
  <c r="N21" i="196" s="1"/>
  <c r="U21" i="196"/>
  <c r="Q21" i="196"/>
  <c r="P21" i="196"/>
  <c r="O21" i="196"/>
  <c r="K21" i="196"/>
  <c r="G21" i="196"/>
  <c r="V20" i="196"/>
  <c r="U20" i="196"/>
  <c r="O20" i="196"/>
  <c r="M20" i="196"/>
  <c r="K20" i="196"/>
  <c r="G20" i="196"/>
  <c r="V19" i="196"/>
  <c r="M19" i="196" s="1"/>
  <c r="N19" i="196" s="1"/>
  <c r="P19" i="196" s="1"/>
  <c r="U19" i="196"/>
  <c r="Q19" i="196"/>
  <c r="O19" i="196"/>
  <c r="K19" i="196"/>
  <c r="G19" i="196"/>
  <c r="V18" i="196"/>
  <c r="U18" i="196"/>
  <c r="O18" i="196"/>
  <c r="M18" i="196"/>
  <c r="N18" i="196" s="1"/>
  <c r="K18" i="196"/>
  <c r="G18" i="196"/>
  <c r="AF17" i="196"/>
  <c r="AE17" i="196"/>
  <c r="V17" i="196"/>
  <c r="M17" i="196" s="1"/>
  <c r="N17" i="196" s="1"/>
  <c r="U17" i="196"/>
  <c r="O17" i="196"/>
  <c r="K17" i="196"/>
  <c r="G17" i="196"/>
  <c r="V16" i="196"/>
  <c r="U16" i="196"/>
  <c r="O16" i="196"/>
  <c r="M16" i="196"/>
  <c r="K16" i="196"/>
  <c r="G16" i="196"/>
  <c r="X15" i="196"/>
  <c r="W15" i="196"/>
  <c r="V15" i="196"/>
  <c r="O15" i="196"/>
  <c r="M15" i="196"/>
  <c r="AF15" i="196" s="1"/>
  <c r="K15" i="196"/>
  <c r="G15" i="196"/>
  <c r="AD14" i="196"/>
  <c r="Z14" i="196"/>
  <c r="E19" i="195" s="1"/>
  <c r="Y14" i="196"/>
  <c r="O14" i="196"/>
  <c r="K14" i="196"/>
  <c r="V13" i="196"/>
  <c r="U13" i="196"/>
  <c r="O13" i="196"/>
  <c r="M13" i="196"/>
  <c r="K13" i="196"/>
  <c r="G13" i="196"/>
  <c r="AF12" i="196"/>
  <c r="AE12" i="196"/>
  <c r="X12" i="196"/>
  <c r="W12" i="196"/>
  <c r="V12" i="196"/>
  <c r="M12" i="196" s="1"/>
  <c r="N12" i="196" s="1"/>
  <c r="U12" i="196"/>
  <c r="O12" i="196"/>
  <c r="K12" i="196"/>
  <c r="G12" i="196"/>
  <c r="V11" i="196"/>
  <c r="U11" i="196"/>
  <c r="O11" i="196"/>
  <c r="M11" i="196"/>
  <c r="N11" i="196" s="1"/>
  <c r="K11" i="196"/>
  <c r="G11" i="196"/>
  <c r="AF10" i="196"/>
  <c r="V10" i="196"/>
  <c r="U10" i="196"/>
  <c r="O10" i="196"/>
  <c r="N10" i="196"/>
  <c r="P10" i="196" s="1"/>
  <c r="M10" i="196"/>
  <c r="AE10" i="196" s="1"/>
  <c r="K10" i="196"/>
  <c r="G10" i="196"/>
  <c r="X9" i="196"/>
  <c r="W9" i="196"/>
  <c r="V9" i="196"/>
  <c r="M9" i="196" s="1"/>
  <c r="O9" i="196"/>
  <c r="K9" i="196"/>
  <c r="G9" i="196"/>
  <c r="AD8" i="196"/>
  <c r="Z8" i="196"/>
  <c r="Y8" i="196"/>
  <c r="O8" i="196"/>
  <c r="M8" i="196"/>
  <c r="N8" i="196" s="1"/>
  <c r="K8" i="196"/>
  <c r="V7" i="196"/>
  <c r="M7" i="196" s="1"/>
  <c r="N7" i="196" s="1"/>
  <c r="P7" i="196" s="1"/>
  <c r="U7" i="196"/>
  <c r="O7" i="196"/>
  <c r="K7" i="196"/>
  <c r="G7" i="196"/>
  <c r="V6" i="196"/>
  <c r="U6" i="196"/>
  <c r="O6" i="196"/>
  <c r="M6" i="196"/>
  <c r="K6" i="196"/>
  <c r="G6" i="196"/>
  <c r="F1" i="196" s="1"/>
  <c r="AF5" i="196"/>
  <c r="AE5" i="196"/>
  <c r="V5" i="196"/>
  <c r="O5" i="196"/>
  <c r="M5" i="196"/>
  <c r="N5" i="196" s="1"/>
  <c r="K5" i="196"/>
  <c r="G5" i="196"/>
  <c r="H2" i="196"/>
  <c r="H1" i="196"/>
  <c r="D1" i="196"/>
  <c r="M22" i="195"/>
  <c r="L22" i="195"/>
  <c r="K22" i="195"/>
  <c r="J22" i="195"/>
  <c r="I22" i="195"/>
  <c r="H22" i="195"/>
  <c r="G22" i="195"/>
  <c r="F22" i="195"/>
  <c r="E22" i="195"/>
  <c r="D22" i="195"/>
  <c r="M21" i="195"/>
  <c r="L21" i="195"/>
  <c r="J21" i="195"/>
  <c r="I21" i="195"/>
  <c r="F21" i="195"/>
  <c r="E21" i="195"/>
  <c r="D21" i="195"/>
  <c r="M20" i="195"/>
  <c r="L20" i="195"/>
  <c r="K20" i="195"/>
  <c r="J20" i="195"/>
  <c r="I20" i="195"/>
  <c r="H20" i="195"/>
  <c r="G20" i="195"/>
  <c r="F20" i="195"/>
  <c r="E20" i="195"/>
  <c r="D20" i="195"/>
  <c r="M19" i="195"/>
  <c r="J19" i="195"/>
  <c r="I19" i="195"/>
  <c r="G19" i="195"/>
  <c r="F19" i="195"/>
  <c r="D19" i="195"/>
  <c r="M18" i="195"/>
  <c r="L18" i="195"/>
  <c r="I18" i="195"/>
  <c r="D18" i="195"/>
  <c r="M17" i="195"/>
  <c r="L17" i="195"/>
  <c r="K17" i="195"/>
  <c r="J17" i="195"/>
  <c r="I17" i="195"/>
  <c r="H17" i="195"/>
  <c r="G17" i="195"/>
  <c r="F17" i="195"/>
  <c r="E17" i="195"/>
  <c r="D17" i="195"/>
  <c r="M16" i="195"/>
  <c r="L16" i="195"/>
  <c r="K16" i="195"/>
  <c r="J16" i="195"/>
  <c r="I16" i="195"/>
  <c r="H16" i="195"/>
  <c r="G16" i="195"/>
  <c r="F16" i="195"/>
  <c r="E16" i="195"/>
  <c r="D16" i="195"/>
  <c r="J13" i="195"/>
  <c r="I13" i="195"/>
  <c r="H13" i="195"/>
  <c r="G13" i="195"/>
  <c r="E13" i="195"/>
  <c r="D13" i="195"/>
  <c r="M6" i="195"/>
  <c r="F3" i="195"/>
  <c r="C3" i="195"/>
  <c r="E8" i="205" l="1"/>
  <c r="E7" i="201"/>
  <c r="G7" i="201"/>
  <c r="F7" i="201"/>
  <c r="D15" i="201"/>
  <c r="I7" i="201"/>
  <c r="K15" i="201"/>
  <c r="I8" i="201" s="1"/>
  <c r="E14" i="199"/>
  <c r="E15" i="199" s="1"/>
  <c r="Q16" i="200"/>
  <c r="R10" i="200" s="1"/>
  <c r="P16" i="200"/>
  <c r="P9" i="200"/>
  <c r="D14" i="199"/>
  <c r="D2" i="200"/>
  <c r="Q9" i="200"/>
  <c r="R5" i="200" s="1"/>
  <c r="K14" i="199"/>
  <c r="P42" i="200"/>
  <c r="Q42" i="200"/>
  <c r="R34" i="200" s="1"/>
  <c r="Q66" i="200"/>
  <c r="R57" i="200" s="1"/>
  <c r="I14" i="199"/>
  <c r="I15" i="199" s="1"/>
  <c r="P66" i="200"/>
  <c r="M14" i="199"/>
  <c r="M15" i="199" s="1"/>
  <c r="Q80" i="200"/>
  <c r="R72" i="200" s="1"/>
  <c r="P80" i="200"/>
  <c r="Q31" i="198"/>
  <c r="P31" i="198"/>
  <c r="Q76" i="198"/>
  <c r="P76" i="198"/>
  <c r="AF71" i="198"/>
  <c r="AG67" i="198" s="1"/>
  <c r="AE71" i="198"/>
  <c r="N71" i="198"/>
  <c r="Q73" i="198"/>
  <c r="P73" i="198"/>
  <c r="Q59" i="198"/>
  <c r="P59" i="198"/>
  <c r="N42" i="198"/>
  <c r="AE42" i="198"/>
  <c r="AF42" i="198"/>
  <c r="AG34" i="198" s="1"/>
  <c r="Q67" i="198"/>
  <c r="P67" i="198"/>
  <c r="P78" i="198"/>
  <c r="Q78" i="198"/>
  <c r="Q44" i="198"/>
  <c r="P44" i="198"/>
  <c r="Q37" i="198"/>
  <c r="P37" i="198"/>
  <c r="AE25" i="198"/>
  <c r="AF25" i="198"/>
  <c r="AG17" i="198" s="1"/>
  <c r="N25" i="198"/>
  <c r="P60" i="198"/>
  <c r="Q60" i="198"/>
  <c r="Q18" i="198"/>
  <c r="P18" i="198"/>
  <c r="Q13" i="198"/>
  <c r="P13" i="198"/>
  <c r="Q36" i="198"/>
  <c r="P36" i="198"/>
  <c r="P32" i="198"/>
  <c r="Q32" i="198"/>
  <c r="Q74" i="198"/>
  <c r="P74" i="198"/>
  <c r="Q29" i="198"/>
  <c r="P29" i="198"/>
  <c r="Q58" i="198"/>
  <c r="P58" i="198"/>
  <c r="Q62" i="198"/>
  <c r="P62" i="198"/>
  <c r="N51" i="198"/>
  <c r="AF51" i="198"/>
  <c r="AG43" i="198" s="1"/>
  <c r="AE51" i="198"/>
  <c r="Q65" i="198"/>
  <c r="P65" i="198"/>
  <c r="N33" i="198"/>
  <c r="AF33" i="198"/>
  <c r="AG26" i="198" s="1"/>
  <c r="AE33" i="198"/>
  <c r="P6" i="198"/>
  <c r="Q6" i="198"/>
  <c r="Q11" i="198"/>
  <c r="P11" i="198"/>
  <c r="AF66" i="198"/>
  <c r="AG57" i="198" s="1"/>
  <c r="AE66" i="198"/>
  <c r="N66" i="198"/>
  <c r="Q26" i="198"/>
  <c r="P26" i="198"/>
  <c r="N16" i="198"/>
  <c r="AF16" i="198"/>
  <c r="AG10" i="198" s="1"/>
  <c r="AE16" i="198"/>
  <c r="Q24" i="198"/>
  <c r="P24" i="198"/>
  <c r="Q8" i="198"/>
  <c r="P8" i="198"/>
  <c r="N9" i="198"/>
  <c r="AE9" i="198"/>
  <c r="AF9" i="198"/>
  <c r="AG5" i="198" s="1"/>
  <c r="AF80" i="198"/>
  <c r="AG72" i="198" s="1"/>
  <c r="AE80" i="198"/>
  <c r="N80" i="198"/>
  <c r="P50" i="198"/>
  <c r="Q50" i="198"/>
  <c r="M30" i="196"/>
  <c r="AF23" i="196"/>
  <c r="N23" i="196"/>
  <c r="AE23" i="196"/>
  <c r="Q18" i="196"/>
  <c r="P18" i="196"/>
  <c r="Q60" i="196"/>
  <c r="P60" i="196"/>
  <c r="I3" i="195"/>
  <c r="F2" i="196"/>
  <c r="P8" i="196"/>
  <c r="D14" i="195"/>
  <c r="Q8" i="196"/>
  <c r="R5" i="196" s="1"/>
  <c r="P70" i="196"/>
  <c r="Q70" i="196"/>
  <c r="P11" i="196"/>
  <c r="Q11" i="196"/>
  <c r="E6" i="195"/>
  <c r="F6" i="195"/>
  <c r="Q51" i="196"/>
  <c r="P51" i="196"/>
  <c r="Q42" i="196"/>
  <c r="P42" i="196"/>
  <c r="M44" i="196"/>
  <c r="AF21" i="196"/>
  <c r="M37" i="196"/>
  <c r="AE39" i="196"/>
  <c r="AF39" i="196"/>
  <c r="N39" i="196"/>
  <c r="AE54" i="196"/>
  <c r="Q31" i="196"/>
  <c r="P31" i="196"/>
  <c r="AD2" i="196"/>
  <c r="N6" i="195" s="1"/>
  <c r="AE28" i="196"/>
  <c r="AF67" i="196"/>
  <c r="AE67" i="196"/>
  <c r="AF6" i="196"/>
  <c r="AE6" i="196"/>
  <c r="AF28" i="196"/>
  <c r="AF40" i="196"/>
  <c r="Q43" i="196"/>
  <c r="P43" i="196"/>
  <c r="AE45" i="196"/>
  <c r="AF66" i="196"/>
  <c r="AE21" i="196"/>
  <c r="AF26" i="196"/>
  <c r="AE34" i="196"/>
  <c r="AF34" i="196"/>
  <c r="N34" i="196"/>
  <c r="N9" i="196"/>
  <c r="M14" i="196"/>
  <c r="AF9" i="196"/>
  <c r="E18" i="195"/>
  <c r="Y2" i="196"/>
  <c r="K6" i="195" s="1"/>
  <c r="AF27" i="196"/>
  <c r="AE27" i="196"/>
  <c r="G6" i="195"/>
  <c r="Q7" i="196"/>
  <c r="AE19" i="196"/>
  <c r="AF32" i="196"/>
  <c r="AE32" i="196"/>
  <c r="Q52" i="196"/>
  <c r="P52" i="196"/>
  <c r="AF55" i="196"/>
  <c r="AE55" i="196"/>
  <c r="N55" i="196"/>
  <c r="AE9" i="196"/>
  <c r="AF19" i="196"/>
  <c r="N32" i="196"/>
  <c r="AE52" i="196"/>
  <c r="AE40" i="196"/>
  <c r="M49" i="196"/>
  <c r="N45" i="196"/>
  <c r="AE66" i="196"/>
  <c r="AE61" i="196"/>
  <c r="AF13" i="196"/>
  <c r="AE13" i="196"/>
  <c r="N13" i="196"/>
  <c r="AE33" i="196"/>
  <c r="AE56" i="196"/>
  <c r="AF56" i="196"/>
  <c r="N67" i="196"/>
  <c r="N6" i="196"/>
  <c r="M22" i="196"/>
  <c r="AF16" i="196"/>
  <c r="AE16" i="196"/>
  <c r="AE46" i="196"/>
  <c r="AF46" i="196"/>
  <c r="N46" i="196"/>
  <c r="AE65" i="196"/>
  <c r="M71" i="196"/>
  <c r="AF65" i="196"/>
  <c r="N16" i="196"/>
  <c r="AE26" i="196"/>
  <c r="N65" i="196"/>
  <c r="AF70" i="196"/>
  <c r="AE70" i="196"/>
  <c r="Z2" i="196"/>
  <c r="L6" i="195" s="1"/>
  <c r="AF52" i="196"/>
  <c r="AF18" i="196"/>
  <c r="AE18" i="196"/>
  <c r="AF51" i="196"/>
  <c r="AE51" i="196"/>
  <c r="AF61" i="196"/>
  <c r="AE42" i="196"/>
  <c r="AF42" i="196"/>
  <c r="AE8" i="196"/>
  <c r="AF8" i="196"/>
  <c r="AG5" i="196" s="1"/>
  <c r="Q38" i="196"/>
  <c r="P38" i="196"/>
  <c r="Q53" i="196"/>
  <c r="P53" i="196"/>
  <c r="Q66" i="196"/>
  <c r="P66" i="196"/>
  <c r="AF11" i="196"/>
  <c r="AE11" i="196"/>
  <c r="AF33" i="196"/>
  <c r="Q26" i="196"/>
  <c r="P26" i="196"/>
  <c r="N27" i="196"/>
  <c r="AF60" i="196"/>
  <c r="AE60" i="196"/>
  <c r="M64" i="196"/>
  <c r="AF25" i="196"/>
  <c r="AE25" i="196"/>
  <c r="AE7" i="196"/>
  <c r="Q12" i="196"/>
  <c r="P12" i="196"/>
  <c r="N25" i="196"/>
  <c r="P40" i="196"/>
  <c r="AE58" i="196"/>
  <c r="AF58" i="196"/>
  <c r="Q5" i="196"/>
  <c r="P5" i="196"/>
  <c r="AF7" i="196"/>
  <c r="Q17" i="196"/>
  <c r="P17" i="196"/>
  <c r="AF20" i="196"/>
  <c r="AE20" i="196"/>
  <c r="N20" i="196"/>
  <c r="AE47" i="196"/>
  <c r="N58" i="196"/>
  <c r="AE63" i="196"/>
  <c r="N35" i="196"/>
  <c r="AF35" i="196"/>
  <c r="AF47" i="196"/>
  <c r="AF53" i="196"/>
  <c r="AE53" i="196"/>
  <c r="AF63" i="196"/>
  <c r="N62" i="196"/>
  <c r="N69" i="196"/>
  <c r="N15" i="196"/>
  <c r="N29" i="196"/>
  <c r="N41" i="196"/>
  <c r="N48" i="196"/>
  <c r="N57" i="196"/>
  <c r="N36" i="196"/>
  <c r="N50" i="196"/>
  <c r="M59" i="196"/>
  <c r="AE62" i="196"/>
  <c r="P24" i="196"/>
  <c r="Q10" i="196"/>
  <c r="AE29" i="196"/>
  <c r="AE41" i="196"/>
  <c r="AE48" i="196"/>
  <c r="AE69" i="196"/>
  <c r="AE15" i="196"/>
  <c r="AE36" i="196"/>
  <c r="AE50" i="196"/>
  <c r="AE57" i="196"/>
  <c r="AD65" i="194"/>
  <c r="Z65" i="194"/>
  <c r="Y65" i="194"/>
  <c r="O65" i="194"/>
  <c r="K65" i="194"/>
  <c r="V64" i="194"/>
  <c r="U64" i="194"/>
  <c r="O64" i="194"/>
  <c r="M64" i="194"/>
  <c r="AE64" i="194" s="1"/>
  <c r="K64" i="194"/>
  <c r="G64" i="194"/>
  <c r="AF63" i="194"/>
  <c r="V63" i="194"/>
  <c r="U63" i="194"/>
  <c r="O63" i="194"/>
  <c r="M63" i="194"/>
  <c r="N63" i="194" s="1"/>
  <c r="K63" i="194"/>
  <c r="G63" i="194"/>
  <c r="V62" i="194"/>
  <c r="M62" i="194" s="1"/>
  <c r="U62" i="194"/>
  <c r="O62" i="194"/>
  <c r="K62" i="194"/>
  <c r="G62" i="194"/>
  <c r="V61" i="194"/>
  <c r="M61" i="194" s="1"/>
  <c r="U61" i="194"/>
  <c r="O61" i="194"/>
  <c r="K61" i="194"/>
  <c r="G61" i="194"/>
  <c r="AF60" i="194"/>
  <c r="AE60" i="194"/>
  <c r="X60" i="194"/>
  <c r="W60" i="194"/>
  <c r="V60" i="194"/>
  <c r="O60" i="194"/>
  <c r="M60" i="194"/>
  <c r="N60" i="194" s="1"/>
  <c r="K60" i="194"/>
  <c r="G60" i="194"/>
  <c r="AD59" i="194"/>
  <c r="Z59" i="194"/>
  <c r="Y59" i="194"/>
  <c r="O59" i="194"/>
  <c r="K59" i="194"/>
  <c r="V58" i="194"/>
  <c r="M58" i="194" s="1"/>
  <c r="U58" i="194"/>
  <c r="O58" i="194"/>
  <c r="K58" i="194"/>
  <c r="G58" i="194"/>
  <c r="V57" i="194"/>
  <c r="M57" i="194" s="1"/>
  <c r="U57" i="194"/>
  <c r="O57" i="194"/>
  <c r="K57" i="194"/>
  <c r="G57" i="194"/>
  <c r="V56" i="194"/>
  <c r="M56" i="194" s="1"/>
  <c r="U56" i="194"/>
  <c r="O56" i="194"/>
  <c r="K56" i="194"/>
  <c r="G56" i="194"/>
  <c r="V55" i="194"/>
  <c r="M55" i="194" s="1"/>
  <c r="O55" i="194"/>
  <c r="K55" i="194"/>
  <c r="G55" i="194"/>
  <c r="AD54" i="194"/>
  <c r="Z54" i="194"/>
  <c r="I19" i="193" s="1"/>
  <c r="Y54" i="194"/>
  <c r="I18" i="193" s="1"/>
  <c r="O54" i="194"/>
  <c r="K54" i="194"/>
  <c r="V53" i="194"/>
  <c r="M53" i="194" s="1"/>
  <c r="U53" i="194"/>
  <c r="O53" i="194"/>
  <c r="K53" i="194"/>
  <c r="G53" i="194"/>
  <c r="V52" i="194"/>
  <c r="U52" i="194"/>
  <c r="O52" i="194"/>
  <c r="N52" i="194"/>
  <c r="Q52" i="194" s="1"/>
  <c r="M52" i="194"/>
  <c r="AF52" i="194" s="1"/>
  <c r="K52" i="194"/>
  <c r="G52" i="194"/>
  <c r="V51" i="194"/>
  <c r="U51" i="194"/>
  <c r="O51" i="194"/>
  <c r="N51" i="194"/>
  <c r="Q51" i="194" s="1"/>
  <c r="M51" i="194"/>
  <c r="AF51" i="194" s="1"/>
  <c r="K51" i="194"/>
  <c r="G51" i="194"/>
  <c r="V50" i="194"/>
  <c r="U50" i="194"/>
  <c r="O50" i="194"/>
  <c r="M50" i="194"/>
  <c r="AF50" i="194" s="1"/>
  <c r="K50" i="194"/>
  <c r="G50" i="194"/>
  <c r="V49" i="194"/>
  <c r="U49" i="194"/>
  <c r="O49" i="194"/>
  <c r="M49" i="194"/>
  <c r="AF49" i="194" s="1"/>
  <c r="K49" i="194"/>
  <c r="G49" i="194"/>
  <c r="V48" i="194"/>
  <c r="U48" i="194"/>
  <c r="O48" i="194"/>
  <c r="M48" i="194"/>
  <c r="AE48" i="194" s="1"/>
  <c r="K48" i="194"/>
  <c r="G48" i="194"/>
  <c r="AF47" i="194"/>
  <c r="V47" i="194"/>
  <c r="U47" i="194"/>
  <c r="O47" i="194"/>
  <c r="M47" i="194"/>
  <c r="N47" i="194" s="1"/>
  <c r="K47" i="194"/>
  <c r="G47" i="194"/>
  <c r="AF46" i="194"/>
  <c r="V46" i="194"/>
  <c r="O46" i="194"/>
  <c r="M46" i="194"/>
  <c r="K46" i="194"/>
  <c r="G46" i="194"/>
  <c r="AD45" i="194"/>
  <c r="Z45" i="194"/>
  <c r="Y45" i="194"/>
  <c r="O45" i="194"/>
  <c r="K45" i="194"/>
  <c r="V44" i="194"/>
  <c r="M44" i="194" s="1"/>
  <c r="U44" i="194"/>
  <c r="O44" i="194"/>
  <c r="K44" i="194"/>
  <c r="G44" i="194"/>
  <c r="V43" i="194"/>
  <c r="M43" i="194" s="1"/>
  <c r="U43" i="194"/>
  <c r="O43" i="194"/>
  <c r="K43" i="194"/>
  <c r="G43" i="194"/>
  <c r="V42" i="194"/>
  <c r="M42" i="194" s="1"/>
  <c r="U42" i="194"/>
  <c r="O42" i="194"/>
  <c r="K42" i="194"/>
  <c r="G42" i="194"/>
  <c r="V41" i="194"/>
  <c r="M41" i="194" s="1"/>
  <c r="O41" i="194"/>
  <c r="K41" i="194"/>
  <c r="G41" i="194"/>
  <c r="AD40" i="194"/>
  <c r="L21" i="193" s="1"/>
  <c r="Z40" i="194"/>
  <c r="L19" i="193" s="1"/>
  <c r="Y40" i="194"/>
  <c r="L18" i="193" s="1"/>
  <c r="O40" i="194"/>
  <c r="K40" i="194"/>
  <c r="V39" i="194"/>
  <c r="M39" i="194" s="1"/>
  <c r="U39" i="194"/>
  <c r="O39" i="194"/>
  <c r="K39" i="194"/>
  <c r="G39" i="194"/>
  <c r="X38" i="194"/>
  <c r="W38" i="194"/>
  <c r="V38" i="194"/>
  <c r="M38" i="194" s="1"/>
  <c r="U38" i="194"/>
  <c r="O38" i="194"/>
  <c r="K38" i="194"/>
  <c r="G38" i="194"/>
  <c r="V37" i="194"/>
  <c r="M37" i="194" s="1"/>
  <c r="U37" i="194"/>
  <c r="O37" i="194"/>
  <c r="K37" i="194"/>
  <c r="G37" i="194"/>
  <c r="V36" i="194"/>
  <c r="U36" i="194"/>
  <c r="O36" i="194"/>
  <c r="N36" i="194"/>
  <c r="Q36" i="194" s="1"/>
  <c r="M36" i="194"/>
  <c r="AF36" i="194" s="1"/>
  <c r="K36" i="194"/>
  <c r="G36" i="194"/>
  <c r="V35" i="194"/>
  <c r="U35" i="194"/>
  <c r="O35" i="194"/>
  <c r="N35" i="194"/>
  <c r="Q35" i="194" s="1"/>
  <c r="M35" i="194"/>
  <c r="AF35" i="194" s="1"/>
  <c r="K35" i="194"/>
  <c r="G35" i="194"/>
  <c r="X34" i="194"/>
  <c r="W34" i="194"/>
  <c r="V34" i="194"/>
  <c r="M34" i="194" s="1"/>
  <c r="O34" i="194"/>
  <c r="K34" i="194"/>
  <c r="G34" i="194"/>
  <c r="AD33" i="194"/>
  <c r="Z33" i="194"/>
  <c r="K19" i="193" s="1"/>
  <c r="Y33" i="194"/>
  <c r="K18" i="193" s="1"/>
  <c r="O33" i="194"/>
  <c r="K33" i="194"/>
  <c r="V32" i="194"/>
  <c r="U32" i="194"/>
  <c r="O32" i="194"/>
  <c r="N32" i="194"/>
  <c r="Q32" i="194" s="1"/>
  <c r="M32" i="194"/>
  <c r="AF32" i="194" s="1"/>
  <c r="K32" i="194"/>
  <c r="G32" i="194"/>
  <c r="V31" i="194"/>
  <c r="U31" i="194"/>
  <c r="O31" i="194"/>
  <c r="M31" i="194"/>
  <c r="AF31" i="194" s="1"/>
  <c r="K31" i="194"/>
  <c r="G31" i="194"/>
  <c r="V30" i="194"/>
  <c r="U30" i="194"/>
  <c r="O30" i="194"/>
  <c r="M30" i="194"/>
  <c r="AF30" i="194" s="1"/>
  <c r="K30" i="194"/>
  <c r="G30" i="194"/>
  <c r="V29" i="194"/>
  <c r="U29" i="194"/>
  <c r="O29" i="194"/>
  <c r="M29" i="194"/>
  <c r="AE29" i="194" s="1"/>
  <c r="K29" i="194"/>
  <c r="G29" i="194"/>
  <c r="X28" i="194"/>
  <c r="W28" i="194"/>
  <c r="V28" i="194"/>
  <c r="O28" i="194"/>
  <c r="M28" i="194"/>
  <c r="M33" i="194" s="1"/>
  <c r="K28" i="194"/>
  <c r="G28" i="194"/>
  <c r="AD27" i="194"/>
  <c r="Z27" i="194"/>
  <c r="Y27" i="194"/>
  <c r="O27" i="194"/>
  <c r="K27" i="194"/>
  <c r="G13" i="193" s="1"/>
  <c r="V26" i="194"/>
  <c r="U26" i="194"/>
  <c r="O26" i="194"/>
  <c r="M26" i="194"/>
  <c r="AE26" i="194" s="1"/>
  <c r="K26" i="194"/>
  <c r="G26" i="194"/>
  <c r="AF25" i="194"/>
  <c r="V25" i="194"/>
  <c r="U25" i="194"/>
  <c r="O25" i="194"/>
  <c r="M25" i="194"/>
  <c r="N25" i="194" s="1"/>
  <c r="K25" i="194"/>
  <c r="G25" i="194"/>
  <c r="V24" i="194"/>
  <c r="M24" i="194" s="1"/>
  <c r="U24" i="194"/>
  <c r="O24" i="194"/>
  <c r="K24" i="194"/>
  <c r="G24" i="194"/>
  <c r="V23" i="194"/>
  <c r="M23" i="194" s="1"/>
  <c r="U23" i="194"/>
  <c r="O23" i="194"/>
  <c r="K23" i="194"/>
  <c r="G23" i="194"/>
  <c r="V22" i="194"/>
  <c r="M22" i="194" s="1"/>
  <c r="U22" i="194"/>
  <c r="O22" i="194"/>
  <c r="K22" i="194"/>
  <c r="G22" i="194"/>
  <c r="V21" i="194"/>
  <c r="M21" i="194" s="1"/>
  <c r="O21" i="194"/>
  <c r="K21" i="194"/>
  <c r="G21" i="194"/>
  <c r="AD20" i="194"/>
  <c r="F21" i="193" s="1"/>
  <c r="Z20" i="194"/>
  <c r="F19" i="193" s="1"/>
  <c r="Y20" i="194"/>
  <c r="F18" i="193" s="1"/>
  <c r="O20" i="194"/>
  <c r="K20" i="194"/>
  <c r="V19" i="194"/>
  <c r="M19" i="194" s="1"/>
  <c r="U19" i="194"/>
  <c r="O19" i="194"/>
  <c r="K19" i="194"/>
  <c r="G19" i="194"/>
  <c r="V18" i="194"/>
  <c r="M18" i="194" s="1"/>
  <c r="U18" i="194"/>
  <c r="O18" i="194"/>
  <c r="K18" i="194"/>
  <c r="G18" i="194"/>
  <c r="V17" i="194"/>
  <c r="U17" i="194"/>
  <c r="O17" i="194"/>
  <c r="N17" i="194"/>
  <c r="Q17" i="194" s="1"/>
  <c r="M17" i="194"/>
  <c r="AF17" i="194" s="1"/>
  <c r="K17" i="194"/>
  <c r="G17" i="194"/>
  <c r="V16" i="194"/>
  <c r="U16" i="194"/>
  <c r="O16" i="194"/>
  <c r="N16" i="194"/>
  <c r="Q16" i="194" s="1"/>
  <c r="M16" i="194"/>
  <c r="AF16" i="194" s="1"/>
  <c r="K16" i="194"/>
  <c r="G16" i="194"/>
  <c r="V15" i="194"/>
  <c r="U15" i="194"/>
  <c r="O15" i="194"/>
  <c r="M15" i="194"/>
  <c r="AF15" i="194" s="1"/>
  <c r="K15" i="194"/>
  <c r="G15" i="194"/>
  <c r="V14" i="194"/>
  <c r="U14" i="194"/>
  <c r="O14" i="194"/>
  <c r="M14" i="194"/>
  <c r="AF14" i="194" s="1"/>
  <c r="K14" i="194"/>
  <c r="G14" i="194"/>
  <c r="X13" i="194"/>
  <c r="W13" i="194"/>
  <c r="V13" i="194"/>
  <c r="O13" i="194"/>
  <c r="N13" i="194"/>
  <c r="Q13" i="194" s="1"/>
  <c r="M13" i="194"/>
  <c r="AF13" i="194" s="1"/>
  <c r="K13" i="194"/>
  <c r="G13" i="194"/>
  <c r="AD12" i="194"/>
  <c r="Z12" i="194"/>
  <c r="Y12" i="194"/>
  <c r="O12" i="194"/>
  <c r="N12" i="194"/>
  <c r="Q12" i="194" s="1"/>
  <c r="R8" i="194" s="1"/>
  <c r="M12" i="194"/>
  <c r="AF12" i="194" s="1"/>
  <c r="AG8" i="194" s="1"/>
  <c r="K12" i="194"/>
  <c r="V11" i="194"/>
  <c r="U11" i="194"/>
  <c r="O11" i="194"/>
  <c r="M11" i="194"/>
  <c r="AF11" i="194" s="1"/>
  <c r="K11" i="194"/>
  <c r="G11" i="194"/>
  <c r="V10" i="194"/>
  <c r="U10" i="194"/>
  <c r="O10" i="194"/>
  <c r="M10" i="194"/>
  <c r="AE10" i="194" s="1"/>
  <c r="K10" i="194"/>
  <c r="G10" i="194"/>
  <c r="AF9" i="194"/>
  <c r="V9" i="194"/>
  <c r="U9" i="194"/>
  <c r="O9" i="194"/>
  <c r="M9" i="194"/>
  <c r="N9" i="194" s="1"/>
  <c r="K9" i="194"/>
  <c r="G9" i="194"/>
  <c r="AF8" i="194"/>
  <c r="X8" i="194"/>
  <c r="W8" i="194"/>
  <c r="V8" i="194"/>
  <c r="O8" i="194"/>
  <c r="M8" i="194"/>
  <c r="N8" i="194" s="1"/>
  <c r="K8" i="194"/>
  <c r="G8" i="194"/>
  <c r="AD7" i="194"/>
  <c r="Z7" i="194"/>
  <c r="Y7" i="194"/>
  <c r="O7" i="194"/>
  <c r="M7" i="194"/>
  <c r="AE7" i="194" s="1"/>
  <c r="K7" i="194"/>
  <c r="AF6" i="194"/>
  <c r="V6" i="194"/>
  <c r="U6" i="194"/>
  <c r="O6" i="194"/>
  <c r="M6" i="194"/>
  <c r="N6" i="194" s="1"/>
  <c r="K6" i="194"/>
  <c r="G6" i="194"/>
  <c r="AF5" i="194"/>
  <c r="V5" i="194"/>
  <c r="O5" i="194"/>
  <c r="M5" i="194"/>
  <c r="N5" i="194" s="1"/>
  <c r="K5" i="194"/>
  <c r="G5" i="194"/>
  <c r="F1" i="194" s="1"/>
  <c r="AD2" i="194"/>
  <c r="N6" i="193" s="1"/>
  <c r="H2" i="194"/>
  <c r="H1" i="194"/>
  <c r="D1" i="194"/>
  <c r="M22" i="193"/>
  <c r="L22" i="193"/>
  <c r="K22" i="193"/>
  <c r="J22" i="193"/>
  <c r="I22" i="193"/>
  <c r="H22" i="193"/>
  <c r="G22" i="193"/>
  <c r="F22" i="193"/>
  <c r="E22" i="193"/>
  <c r="D22" i="193"/>
  <c r="M21" i="193"/>
  <c r="K21" i="193"/>
  <c r="J21" i="193"/>
  <c r="I21" i="193"/>
  <c r="H21" i="193"/>
  <c r="G21" i="193"/>
  <c r="E21" i="193"/>
  <c r="D21" i="193"/>
  <c r="M20" i="193"/>
  <c r="L20" i="193"/>
  <c r="K20" i="193"/>
  <c r="J20" i="193"/>
  <c r="I20" i="193"/>
  <c r="H20" i="193"/>
  <c r="G20" i="193"/>
  <c r="F20" i="193"/>
  <c r="E20" i="193"/>
  <c r="D20" i="193"/>
  <c r="M19" i="193"/>
  <c r="J19" i="193"/>
  <c r="H19" i="193"/>
  <c r="G19" i="193"/>
  <c r="E19" i="193"/>
  <c r="D19" i="193"/>
  <c r="M18" i="193"/>
  <c r="J18" i="193"/>
  <c r="H18" i="193"/>
  <c r="G18" i="193"/>
  <c r="E18" i="193"/>
  <c r="D18" i="193"/>
  <c r="M17" i="193"/>
  <c r="L17" i="193"/>
  <c r="K17" i="193"/>
  <c r="J17" i="193"/>
  <c r="I17" i="193"/>
  <c r="H17" i="193"/>
  <c r="G17" i="193"/>
  <c r="F17" i="193"/>
  <c r="E17" i="193"/>
  <c r="D17" i="193"/>
  <c r="M16" i="193"/>
  <c r="L16" i="193"/>
  <c r="K16" i="193"/>
  <c r="J16" i="193"/>
  <c r="I16" i="193"/>
  <c r="H16" i="193"/>
  <c r="G16" i="193"/>
  <c r="F16" i="193"/>
  <c r="E16" i="193"/>
  <c r="D16" i="193"/>
  <c r="E15" i="193"/>
  <c r="E14" i="193"/>
  <c r="M13" i="193"/>
  <c r="L13" i="193"/>
  <c r="K13" i="193"/>
  <c r="I6" i="193" s="1"/>
  <c r="J13" i="193"/>
  <c r="I13" i="193"/>
  <c r="H13" i="193"/>
  <c r="F13" i="193"/>
  <c r="E13" i="193"/>
  <c r="D13" i="193"/>
  <c r="M6" i="193"/>
  <c r="F3" i="193"/>
  <c r="C3" i="193"/>
  <c r="F8" i="201" l="1"/>
  <c r="E8" i="201"/>
  <c r="G8" i="201"/>
  <c r="D15" i="199"/>
  <c r="G7" i="199"/>
  <c r="F7" i="199"/>
  <c r="E7" i="199"/>
  <c r="I7" i="199"/>
  <c r="K15" i="199"/>
  <c r="I8" i="199" s="1"/>
  <c r="P9" i="198"/>
  <c r="D14" i="197"/>
  <c r="D2" i="198"/>
  <c r="Q9" i="198"/>
  <c r="R5" i="198" s="1"/>
  <c r="J14" i="197"/>
  <c r="J15" i="197" s="1"/>
  <c r="Q71" i="198"/>
  <c r="R67" i="198" s="1"/>
  <c r="P71" i="198"/>
  <c r="M14" i="197"/>
  <c r="M15" i="197" s="1"/>
  <c r="Q80" i="198"/>
  <c r="R72" i="198" s="1"/>
  <c r="P80" i="198"/>
  <c r="K14" i="197"/>
  <c r="Q42" i="198"/>
  <c r="R34" i="198" s="1"/>
  <c r="P42" i="198"/>
  <c r="F14" i="197"/>
  <c r="F15" i="197" s="1"/>
  <c r="Q25" i="198"/>
  <c r="R17" i="198" s="1"/>
  <c r="P25" i="198"/>
  <c r="L14" i="197"/>
  <c r="L15" i="197" s="1"/>
  <c r="Q51" i="198"/>
  <c r="R43" i="198" s="1"/>
  <c r="P51" i="198"/>
  <c r="Q33" i="198"/>
  <c r="R26" i="198" s="1"/>
  <c r="P33" i="198"/>
  <c r="G14" i="197"/>
  <c r="G15" i="197" s="1"/>
  <c r="Q66" i="198"/>
  <c r="R57" i="198" s="1"/>
  <c r="I14" i="197"/>
  <c r="I15" i="197" s="1"/>
  <c r="P66" i="198"/>
  <c r="E14" i="197"/>
  <c r="E15" i="197" s="1"/>
  <c r="P16" i="198"/>
  <c r="Q16" i="198"/>
  <c r="R10" i="198" s="1"/>
  <c r="Q45" i="196"/>
  <c r="P45" i="196"/>
  <c r="Q16" i="196"/>
  <c r="P16" i="196"/>
  <c r="AF49" i="196"/>
  <c r="AG45" i="196" s="1"/>
  <c r="N49" i="196"/>
  <c r="AE49" i="196"/>
  <c r="P36" i="196"/>
  <c r="Q36" i="196"/>
  <c r="Q48" i="196"/>
  <c r="P48" i="196"/>
  <c r="Q65" i="196"/>
  <c r="P65" i="196"/>
  <c r="Q29" i="196"/>
  <c r="P29" i="196"/>
  <c r="Q69" i="196"/>
  <c r="P69" i="196"/>
  <c r="AF71" i="196"/>
  <c r="AG65" i="196" s="1"/>
  <c r="AE71" i="196"/>
  <c r="N71" i="196"/>
  <c r="Q62" i="196"/>
  <c r="P62" i="196"/>
  <c r="P25" i="196"/>
  <c r="Q25" i="196"/>
  <c r="Q39" i="196"/>
  <c r="P39" i="196"/>
  <c r="Q35" i="196"/>
  <c r="P35" i="196"/>
  <c r="AF22" i="196"/>
  <c r="AG15" i="196" s="1"/>
  <c r="AE22" i="196"/>
  <c r="N22" i="196"/>
  <c r="AF44" i="196"/>
  <c r="AG38" i="196" s="1"/>
  <c r="AE44" i="196"/>
  <c r="N44" i="196"/>
  <c r="D15" i="195"/>
  <c r="Q46" i="196"/>
  <c r="P46" i="196"/>
  <c r="AE37" i="196"/>
  <c r="AF37" i="196"/>
  <c r="AG31" i="196" s="1"/>
  <c r="N37" i="196"/>
  <c r="AF64" i="196"/>
  <c r="AG60" i="196" s="1"/>
  <c r="AE64" i="196"/>
  <c r="N64" i="196"/>
  <c r="Q6" i="196"/>
  <c r="P6" i="196"/>
  <c r="N59" i="196"/>
  <c r="AF59" i="196"/>
  <c r="AG50" i="196" s="1"/>
  <c r="AE59" i="196"/>
  <c r="Q50" i="196"/>
  <c r="P50" i="196"/>
  <c r="Q13" i="196"/>
  <c r="P13" i="196"/>
  <c r="Q57" i="196"/>
  <c r="P57" i="196"/>
  <c r="Q41" i="196"/>
  <c r="P41" i="196"/>
  <c r="N14" i="196"/>
  <c r="AF14" i="196"/>
  <c r="AG9" i="196" s="1"/>
  <c r="AE14" i="196"/>
  <c r="Q32" i="196"/>
  <c r="P32" i="196"/>
  <c r="P58" i="196"/>
  <c r="Q58" i="196"/>
  <c r="Q67" i="196"/>
  <c r="P67" i="196"/>
  <c r="P23" i="196"/>
  <c r="Q23" i="196"/>
  <c r="Q15" i="196"/>
  <c r="P15" i="196"/>
  <c r="P9" i="196"/>
  <c r="Q9" i="196"/>
  <c r="Q34" i="196"/>
  <c r="P34" i="196"/>
  <c r="Q55" i="196"/>
  <c r="P55" i="196"/>
  <c r="Q20" i="196"/>
  <c r="P20" i="196"/>
  <c r="Q27" i="196"/>
  <c r="P27" i="196"/>
  <c r="AF30" i="196"/>
  <c r="AG23" i="196" s="1"/>
  <c r="AE30" i="196"/>
  <c r="N30" i="196"/>
  <c r="Q5" i="194"/>
  <c r="P5" i="194"/>
  <c r="N22" i="194"/>
  <c r="AF22" i="194"/>
  <c r="AE22" i="194"/>
  <c r="G6" i="193"/>
  <c r="F6" i="193"/>
  <c r="E6" i="193"/>
  <c r="N38" i="194"/>
  <c r="AF38" i="194"/>
  <c r="AE38" i="194"/>
  <c r="M54" i="194"/>
  <c r="N19" i="194"/>
  <c r="AF19" i="194"/>
  <c r="AE19" i="194"/>
  <c r="N55" i="194"/>
  <c r="M59" i="194"/>
  <c r="AF55" i="194"/>
  <c r="AE55" i="194"/>
  <c r="N43" i="194"/>
  <c r="AF43" i="194"/>
  <c r="AE43" i="194"/>
  <c r="N41" i="194"/>
  <c r="M45" i="194"/>
  <c r="AF41" i="194"/>
  <c r="AE41" i="194"/>
  <c r="N56" i="194"/>
  <c r="AF56" i="194"/>
  <c r="AE56" i="194"/>
  <c r="Q47" i="194"/>
  <c r="P47" i="194"/>
  <c r="N61" i="194"/>
  <c r="AF61" i="194"/>
  <c r="M65" i="194"/>
  <c r="AE61" i="194"/>
  <c r="F2" i="194"/>
  <c r="I3" i="193"/>
  <c r="Q25" i="194"/>
  <c r="P25" i="194"/>
  <c r="N62" i="194"/>
  <c r="AF62" i="194"/>
  <c r="AE62" i="194"/>
  <c r="Q63" i="194"/>
  <c r="P63" i="194"/>
  <c r="N42" i="194"/>
  <c r="AF42" i="194"/>
  <c r="AE42" i="194"/>
  <c r="M40" i="194"/>
  <c r="AF34" i="194"/>
  <c r="AE34" i="194"/>
  <c r="N34" i="194"/>
  <c r="N24" i="194"/>
  <c r="AF24" i="194"/>
  <c r="AE24" i="194"/>
  <c r="AF53" i="194"/>
  <c r="AE53" i="194"/>
  <c r="N53" i="194"/>
  <c r="AF18" i="194"/>
  <c r="AE18" i="194"/>
  <c r="N18" i="194"/>
  <c r="N23" i="194"/>
  <c r="AF23" i="194"/>
  <c r="AE23" i="194"/>
  <c r="Q6" i="194"/>
  <c r="P6" i="194"/>
  <c r="AF37" i="194"/>
  <c r="AE37" i="194"/>
  <c r="N37" i="194"/>
  <c r="AF39" i="194"/>
  <c r="AE39" i="194"/>
  <c r="N39" i="194"/>
  <c r="N44" i="194"/>
  <c r="AF44" i="194"/>
  <c r="AE44" i="194"/>
  <c r="N57" i="194"/>
  <c r="AF57" i="194"/>
  <c r="AE57" i="194"/>
  <c r="Q60" i="194"/>
  <c r="P60" i="194"/>
  <c r="N58" i="194"/>
  <c r="AF58" i="194"/>
  <c r="AE58" i="194"/>
  <c r="Q9" i="194"/>
  <c r="P9" i="194"/>
  <c r="Q8" i="194"/>
  <c r="P8" i="194"/>
  <c r="N21" i="194"/>
  <c r="AF21" i="194"/>
  <c r="AE21" i="194"/>
  <c r="M27" i="194"/>
  <c r="AF33" i="194"/>
  <c r="AG28" i="194" s="1"/>
  <c r="AE33" i="194"/>
  <c r="N33" i="194"/>
  <c r="Y2" i="194"/>
  <c r="K6" i="193" s="1"/>
  <c r="AE5" i="194"/>
  <c r="AE6" i="194"/>
  <c r="AF7" i="194"/>
  <c r="AG5" i="194" s="1"/>
  <c r="AE8" i="194"/>
  <c r="AE9" i="194"/>
  <c r="AF10" i="194"/>
  <c r="AE25" i="194"/>
  <c r="AF26" i="194"/>
  <c r="AF28" i="194"/>
  <c r="AF29" i="194"/>
  <c r="AE46" i="194"/>
  <c r="AE47" i="194"/>
  <c r="AF48" i="194"/>
  <c r="AE63" i="194"/>
  <c r="AF64" i="194"/>
  <c r="Z2" i="194"/>
  <c r="L6" i="193" s="1"/>
  <c r="N15" i="194"/>
  <c r="P17" i="194"/>
  <c r="N28" i="194"/>
  <c r="N31" i="194"/>
  <c r="P36" i="194"/>
  <c r="N50" i="194"/>
  <c r="P52" i="194"/>
  <c r="N7" i="194"/>
  <c r="N11" i="194"/>
  <c r="P12" i="194"/>
  <c r="P13" i="194"/>
  <c r="N14" i="194"/>
  <c r="P16" i="194"/>
  <c r="N30" i="194"/>
  <c r="P32" i="194"/>
  <c r="P35" i="194"/>
  <c r="N49" i="194"/>
  <c r="P51" i="194"/>
  <c r="N10" i="194"/>
  <c r="N26" i="194"/>
  <c r="N29" i="194"/>
  <c r="N48" i="194"/>
  <c r="N64" i="194"/>
  <c r="N46" i="194"/>
  <c r="AE17" i="194"/>
  <c r="AE36" i="194"/>
  <c r="AE52" i="194"/>
  <c r="AE16" i="194"/>
  <c r="M20" i="194"/>
  <c r="AE32" i="194"/>
  <c r="AE35" i="194"/>
  <c r="AE51" i="194"/>
  <c r="AE12" i="194"/>
  <c r="AE15" i="194"/>
  <c r="AE31" i="194"/>
  <c r="AE50" i="194"/>
  <c r="AE11" i="194"/>
  <c r="AE13" i="194"/>
  <c r="AE14" i="194"/>
  <c r="AE30" i="194"/>
  <c r="AE49" i="194"/>
  <c r="AE28" i="194"/>
  <c r="AD71" i="192"/>
  <c r="Z71" i="192"/>
  <c r="Y71" i="192"/>
  <c r="O71" i="192"/>
  <c r="K71" i="192"/>
  <c r="AF70" i="192"/>
  <c r="V70" i="192"/>
  <c r="U70" i="192"/>
  <c r="O70" i="192"/>
  <c r="N70" i="192"/>
  <c r="Q70" i="192" s="1"/>
  <c r="M70" i="192"/>
  <c r="AE70" i="192" s="1"/>
  <c r="K70" i="192"/>
  <c r="G70" i="192"/>
  <c r="AE69" i="192"/>
  <c r="V69" i="192"/>
  <c r="U69" i="192"/>
  <c r="O69" i="192"/>
  <c r="M69" i="192"/>
  <c r="N69" i="192" s="1"/>
  <c r="K69" i="192"/>
  <c r="G69" i="192"/>
  <c r="AF68" i="192"/>
  <c r="AE68" i="192"/>
  <c r="X68" i="192"/>
  <c r="W68" i="192"/>
  <c r="V68" i="192"/>
  <c r="U68" i="192"/>
  <c r="O68" i="192"/>
  <c r="N68" i="192"/>
  <c r="Q68" i="192" s="1"/>
  <c r="M68" i="192"/>
  <c r="K68" i="192"/>
  <c r="G68" i="192"/>
  <c r="AE67" i="192"/>
  <c r="V67" i="192"/>
  <c r="U67" i="192"/>
  <c r="O67" i="192"/>
  <c r="M67" i="192"/>
  <c r="N67" i="192" s="1"/>
  <c r="K67" i="192"/>
  <c r="G67" i="192"/>
  <c r="V66" i="192"/>
  <c r="M66" i="192" s="1"/>
  <c r="U66" i="192"/>
  <c r="O66" i="192"/>
  <c r="K66" i="192"/>
  <c r="G66" i="192"/>
  <c r="V65" i="192"/>
  <c r="M65" i="192" s="1"/>
  <c r="U65" i="192"/>
  <c r="O65" i="192"/>
  <c r="K65" i="192"/>
  <c r="G65" i="192"/>
  <c r="X64" i="192"/>
  <c r="W64" i="192"/>
  <c r="V64" i="192"/>
  <c r="O64" i="192"/>
  <c r="M64" i="192"/>
  <c r="N64" i="192" s="1"/>
  <c r="K64" i="192"/>
  <c r="G64" i="192"/>
  <c r="AD63" i="192"/>
  <c r="J21" i="191" s="1"/>
  <c r="Z63" i="192"/>
  <c r="Y63" i="192"/>
  <c r="O63" i="192"/>
  <c r="K63" i="192"/>
  <c r="V62" i="192"/>
  <c r="M62" i="192" s="1"/>
  <c r="U62" i="192"/>
  <c r="O62" i="192"/>
  <c r="K62" i="192"/>
  <c r="G62" i="192"/>
  <c r="V61" i="192"/>
  <c r="M61" i="192" s="1"/>
  <c r="U61" i="192"/>
  <c r="O61" i="192"/>
  <c r="K61" i="192"/>
  <c r="G61" i="192"/>
  <c r="V60" i="192"/>
  <c r="M60" i="192" s="1"/>
  <c r="U60" i="192"/>
  <c r="O60" i="192"/>
  <c r="K60" i="192"/>
  <c r="G60" i="192"/>
  <c r="V59" i="192"/>
  <c r="M59" i="192" s="1"/>
  <c r="O59" i="192"/>
  <c r="K59" i="192"/>
  <c r="G59" i="192"/>
  <c r="AD58" i="192"/>
  <c r="Z58" i="192"/>
  <c r="Y58" i="192"/>
  <c r="I18" i="191" s="1"/>
  <c r="O58" i="192"/>
  <c r="K58" i="192"/>
  <c r="V57" i="192"/>
  <c r="M57" i="192" s="1"/>
  <c r="U57" i="192"/>
  <c r="O57" i="192"/>
  <c r="K57" i="192"/>
  <c r="G57" i="192"/>
  <c r="V56" i="192"/>
  <c r="U56" i="192"/>
  <c r="O56" i="192"/>
  <c r="M56" i="192"/>
  <c r="AF56" i="192" s="1"/>
  <c r="K56" i="192"/>
  <c r="G56" i="192"/>
  <c r="V55" i="192"/>
  <c r="U55" i="192"/>
  <c r="O55" i="192"/>
  <c r="M55" i="192"/>
  <c r="AF55" i="192" s="1"/>
  <c r="K55" i="192"/>
  <c r="G55" i="192"/>
  <c r="V54" i="192"/>
  <c r="U54" i="192"/>
  <c r="O54" i="192"/>
  <c r="M54" i="192"/>
  <c r="AF54" i="192" s="1"/>
  <c r="K54" i="192"/>
  <c r="G54" i="192"/>
  <c r="V53" i="192"/>
  <c r="U53" i="192"/>
  <c r="O53" i="192"/>
  <c r="N53" i="192"/>
  <c r="Q53" i="192" s="1"/>
  <c r="M53" i="192"/>
  <c r="AF53" i="192" s="1"/>
  <c r="K53" i="192"/>
  <c r="G53" i="192"/>
  <c r="AF52" i="192"/>
  <c r="V52" i="192"/>
  <c r="U52" i="192"/>
  <c r="O52" i="192"/>
  <c r="N52" i="192"/>
  <c r="Q52" i="192" s="1"/>
  <c r="M52" i="192"/>
  <c r="AE52" i="192" s="1"/>
  <c r="K52" i="192"/>
  <c r="G52" i="192"/>
  <c r="AE51" i="192"/>
  <c r="V51" i="192"/>
  <c r="U51" i="192"/>
  <c r="O51" i="192"/>
  <c r="M51" i="192"/>
  <c r="N51" i="192" s="1"/>
  <c r="K51" i="192"/>
  <c r="G51" i="192"/>
  <c r="AE50" i="192"/>
  <c r="V50" i="192"/>
  <c r="O50" i="192"/>
  <c r="M50" i="192"/>
  <c r="M58" i="192" s="1"/>
  <c r="K50" i="192"/>
  <c r="G50" i="192"/>
  <c r="AD49" i="192"/>
  <c r="AD2" i="192" s="1"/>
  <c r="N6" i="191" s="1"/>
  <c r="Z49" i="192"/>
  <c r="Y49" i="192"/>
  <c r="O49" i="192"/>
  <c r="K49" i="192"/>
  <c r="V48" i="192"/>
  <c r="M48" i="192" s="1"/>
  <c r="U48" i="192"/>
  <c r="O48" i="192"/>
  <c r="K48" i="192"/>
  <c r="G48" i="192"/>
  <c r="V47" i="192"/>
  <c r="M47" i="192" s="1"/>
  <c r="U47" i="192"/>
  <c r="O47" i="192"/>
  <c r="K47" i="192"/>
  <c r="G47" i="192"/>
  <c r="V46" i="192"/>
  <c r="M46" i="192" s="1"/>
  <c r="U46" i="192"/>
  <c r="O46" i="192"/>
  <c r="K46" i="192"/>
  <c r="G46" i="192"/>
  <c r="V45" i="192"/>
  <c r="M45" i="192" s="1"/>
  <c r="O45" i="192"/>
  <c r="K45" i="192"/>
  <c r="G45" i="192"/>
  <c r="AD44" i="192"/>
  <c r="L21" i="191" s="1"/>
  <c r="Z44" i="192"/>
  <c r="Y44" i="192"/>
  <c r="O44" i="192"/>
  <c r="K44" i="192"/>
  <c r="V43" i="192"/>
  <c r="M43" i="192" s="1"/>
  <c r="U43" i="192"/>
  <c r="O43" i="192"/>
  <c r="K43" i="192"/>
  <c r="G43" i="192"/>
  <c r="V42" i="192"/>
  <c r="U42" i="192"/>
  <c r="O42" i="192"/>
  <c r="M42" i="192"/>
  <c r="AF42" i="192" s="1"/>
  <c r="K42" i="192"/>
  <c r="G42" i="192"/>
  <c r="X41" i="192"/>
  <c r="W41" i="192"/>
  <c r="V41" i="192"/>
  <c r="M41" i="192" s="1"/>
  <c r="U41" i="192"/>
  <c r="O41" i="192"/>
  <c r="K41" i="192"/>
  <c r="G41" i="192"/>
  <c r="V40" i="192"/>
  <c r="U40" i="192"/>
  <c r="O40" i="192"/>
  <c r="M40" i="192"/>
  <c r="AF40" i="192" s="1"/>
  <c r="K40" i="192"/>
  <c r="G40" i="192"/>
  <c r="V39" i="192"/>
  <c r="U39" i="192"/>
  <c r="O39" i="192"/>
  <c r="M39" i="192"/>
  <c r="AF39" i="192" s="1"/>
  <c r="K39" i="192"/>
  <c r="G39" i="192"/>
  <c r="V38" i="192"/>
  <c r="U38" i="192"/>
  <c r="O38" i="192"/>
  <c r="M38" i="192"/>
  <c r="AF38" i="192" s="1"/>
  <c r="K38" i="192"/>
  <c r="G38" i="192"/>
  <c r="X37" i="192"/>
  <c r="W37" i="192"/>
  <c r="V37" i="192"/>
  <c r="O37" i="192"/>
  <c r="M37" i="192"/>
  <c r="AF37" i="192" s="1"/>
  <c r="K37" i="192"/>
  <c r="G37" i="192"/>
  <c r="AD36" i="192"/>
  <c r="Z36" i="192"/>
  <c r="Y36" i="192"/>
  <c r="K18" i="191" s="1"/>
  <c r="O36" i="192"/>
  <c r="M36" i="192"/>
  <c r="AF36" i="192" s="1"/>
  <c r="AG29" i="192" s="1"/>
  <c r="K36" i="192"/>
  <c r="V35" i="192"/>
  <c r="U35" i="192"/>
  <c r="O35" i="192"/>
  <c r="M35" i="192"/>
  <c r="AF35" i="192" s="1"/>
  <c r="K35" i="192"/>
  <c r="G35" i="192"/>
  <c r="V34" i="192"/>
  <c r="U34" i="192"/>
  <c r="O34" i="192"/>
  <c r="N34" i="192"/>
  <c r="Q34" i="192" s="1"/>
  <c r="M34" i="192"/>
  <c r="AF34" i="192" s="1"/>
  <c r="K34" i="192"/>
  <c r="G34" i="192"/>
  <c r="AF33" i="192"/>
  <c r="X33" i="192"/>
  <c r="W33" i="192"/>
  <c r="V33" i="192"/>
  <c r="U33" i="192"/>
  <c r="O33" i="192"/>
  <c r="M33" i="192"/>
  <c r="AE33" i="192" s="1"/>
  <c r="K33" i="192"/>
  <c r="G33" i="192"/>
  <c r="V32" i="192"/>
  <c r="U32" i="192"/>
  <c r="O32" i="192"/>
  <c r="N32" i="192"/>
  <c r="Q32" i="192" s="1"/>
  <c r="M32" i="192"/>
  <c r="AF32" i="192" s="1"/>
  <c r="K32" i="192"/>
  <c r="G32" i="192"/>
  <c r="AF31" i="192"/>
  <c r="V31" i="192"/>
  <c r="U31" i="192"/>
  <c r="O31" i="192"/>
  <c r="N31" i="192"/>
  <c r="Q31" i="192" s="1"/>
  <c r="M31" i="192"/>
  <c r="AE31" i="192" s="1"/>
  <c r="K31" i="192"/>
  <c r="G31" i="192"/>
  <c r="AE30" i="192"/>
  <c r="V30" i="192"/>
  <c r="U30" i="192"/>
  <c r="O30" i="192"/>
  <c r="M30" i="192"/>
  <c r="N30" i="192" s="1"/>
  <c r="K30" i="192"/>
  <c r="G30" i="192"/>
  <c r="AF29" i="192"/>
  <c r="AE29" i="192"/>
  <c r="X29" i="192"/>
  <c r="W29" i="192"/>
  <c r="V29" i="192"/>
  <c r="O29" i="192"/>
  <c r="N29" i="192"/>
  <c r="Q29" i="192" s="1"/>
  <c r="M29" i="192"/>
  <c r="K29" i="192"/>
  <c r="G29" i="192"/>
  <c r="AD28" i="192"/>
  <c r="Z28" i="192"/>
  <c r="Y28" i="192"/>
  <c r="O28" i="192"/>
  <c r="K28" i="192"/>
  <c r="AE27" i="192"/>
  <c r="V27" i="192"/>
  <c r="U27" i="192"/>
  <c r="O27" i="192"/>
  <c r="M27" i="192"/>
  <c r="N27" i="192" s="1"/>
  <c r="K27" i="192"/>
  <c r="G27" i="192"/>
  <c r="V26" i="192"/>
  <c r="M26" i="192" s="1"/>
  <c r="U26" i="192"/>
  <c r="O26" i="192"/>
  <c r="K26" i="192"/>
  <c r="G26" i="192"/>
  <c r="V25" i="192"/>
  <c r="M25" i="192" s="1"/>
  <c r="U25" i="192"/>
  <c r="O25" i="192"/>
  <c r="K25" i="192"/>
  <c r="G25" i="192"/>
  <c r="V24" i="192"/>
  <c r="M24" i="192" s="1"/>
  <c r="U24" i="192"/>
  <c r="O24" i="192"/>
  <c r="K24" i="192"/>
  <c r="G24" i="192"/>
  <c r="V23" i="192"/>
  <c r="M23" i="192" s="1"/>
  <c r="U23" i="192"/>
  <c r="O23" i="192"/>
  <c r="K23" i="192"/>
  <c r="G23" i="192"/>
  <c r="V22" i="192"/>
  <c r="M22" i="192" s="1"/>
  <c r="O22" i="192"/>
  <c r="K22" i="192"/>
  <c r="G22" i="192"/>
  <c r="AD21" i="192"/>
  <c r="Z21" i="192"/>
  <c r="Y21" i="192"/>
  <c r="F18" i="191" s="1"/>
  <c r="O21" i="192"/>
  <c r="K21" i="192"/>
  <c r="V20" i="192"/>
  <c r="M20" i="192" s="1"/>
  <c r="U20" i="192"/>
  <c r="O20" i="192"/>
  <c r="K20" i="192"/>
  <c r="G20" i="192"/>
  <c r="V19" i="192"/>
  <c r="U19" i="192"/>
  <c r="O19" i="192"/>
  <c r="M19" i="192"/>
  <c r="AF19" i="192" s="1"/>
  <c r="K19" i="192"/>
  <c r="G19" i="192"/>
  <c r="V18" i="192"/>
  <c r="U18" i="192"/>
  <c r="O18" i="192"/>
  <c r="M18" i="192"/>
  <c r="AF18" i="192" s="1"/>
  <c r="K18" i="192"/>
  <c r="G18" i="192"/>
  <c r="V17" i="192"/>
  <c r="U17" i="192"/>
  <c r="O17" i="192"/>
  <c r="M17" i="192"/>
  <c r="AF17" i="192" s="1"/>
  <c r="K17" i="192"/>
  <c r="G17" i="192"/>
  <c r="V16" i="192"/>
  <c r="U16" i="192"/>
  <c r="O16" i="192"/>
  <c r="N16" i="192"/>
  <c r="Q16" i="192" s="1"/>
  <c r="M16" i="192"/>
  <c r="AF16" i="192" s="1"/>
  <c r="K16" i="192"/>
  <c r="G16" i="192"/>
  <c r="AF15" i="192"/>
  <c r="V15" i="192"/>
  <c r="U15" i="192"/>
  <c r="O15" i="192"/>
  <c r="N15" i="192"/>
  <c r="Q15" i="192" s="1"/>
  <c r="M15" i="192"/>
  <c r="AE15" i="192" s="1"/>
  <c r="K15" i="192"/>
  <c r="G15" i="192"/>
  <c r="AF14" i="192"/>
  <c r="X14" i="192"/>
  <c r="W14" i="192"/>
  <c r="V14" i="192"/>
  <c r="O14" i="192"/>
  <c r="M14" i="192"/>
  <c r="AE14" i="192" s="1"/>
  <c r="K14" i="192"/>
  <c r="G14" i="192"/>
  <c r="AD13" i="192"/>
  <c r="Z13" i="192"/>
  <c r="Y13" i="192"/>
  <c r="O13" i="192"/>
  <c r="K13" i="192"/>
  <c r="E13" i="191" s="1"/>
  <c r="AF12" i="192"/>
  <c r="V12" i="192"/>
  <c r="U12" i="192"/>
  <c r="O12" i="192"/>
  <c r="N12" i="192"/>
  <c r="Q12" i="192" s="1"/>
  <c r="M12" i="192"/>
  <c r="AE12" i="192" s="1"/>
  <c r="K12" i="192"/>
  <c r="G12" i="192"/>
  <c r="AF11" i="192"/>
  <c r="AE11" i="192"/>
  <c r="X11" i="192"/>
  <c r="W11" i="192"/>
  <c r="V11" i="192"/>
  <c r="U11" i="192"/>
  <c r="O11" i="192"/>
  <c r="N11" i="192"/>
  <c r="Q11" i="192" s="1"/>
  <c r="M11" i="192"/>
  <c r="K11" i="192"/>
  <c r="G11" i="192"/>
  <c r="AF10" i="192"/>
  <c r="V10" i="192"/>
  <c r="U10" i="192"/>
  <c r="O10" i="192"/>
  <c r="N10" i="192"/>
  <c r="Q10" i="192" s="1"/>
  <c r="M10" i="192"/>
  <c r="AE10" i="192" s="1"/>
  <c r="K10" i="192"/>
  <c r="G10" i="192"/>
  <c r="AE9" i="192"/>
  <c r="V9" i="192"/>
  <c r="U9" i="192"/>
  <c r="O9" i="192"/>
  <c r="M9" i="192"/>
  <c r="N9" i="192" s="1"/>
  <c r="K9" i="192"/>
  <c r="G9" i="192"/>
  <c r="AF8" i="192"/>
  <c r="AE8" i="192"/>
  <c r="X8" i="192"/>
  <c r="W8" i="192"/>
  <c r="V8" i="192"/>
  <c r="O8" i="192"/>
  <c r="N8" i="192"/>
  <c r="Q8" i="192" s="1"/>
  <c r="M8" i="192"/>
  <c r="K8" i="192"/>
  <c r="G8" i="192"/>
  <c r="AD7" i="192"/>
  <c r="Z7" i="192"/>
  <c r="Y7" i="192"/>
  <c r="O7" i="192"/>
  <c r="K7" i="192"/>
  <c r="AE6" i="192"/>
  <c r="V6" i="192"/>
  <c r="U6" i="192"/>
  <c r="O6" i="192"/>
  <c r="M6" i="192"/>
  <c r="N6" i="192" s="1"/>
  <c r="K6" i="192"/>
  <c r="G6" i="192"/>
  <c r="AE5" i="192"/>
  <c r="V5" i="192"/>
  <c r="O5" i="192"/>
  <c r="M5" i="192"/>
  <c r="N5" i="192" s="1"/>
  <c r="K5" i="192"/>
  <c r="G5" i="192"/>
  <c r="F1" i="192" s="1"/>
  <c r="Z2" i="192"/>
  <c r="L6" i="191" s="1"/>
  <c r="Y2" i="192"/>
  <c r="K6" i="191" s="1"/>
  <c r="H2" i="192"/>
  <c r="H1" i="192"/>
  <c r="D1" i="192"/>
  <c r="M22" i="191"/>
  <c r="L22" i="191"/>
  <c r="K22" i="191"/>
  <c r="J22" i="191"/>
  <c r="I22" i="191"/>
  <c r="H22" i="191"/>
  <c r="G22" i="191"/>
  <c r="F22" i="191"/>
  <c r="E22" i="191"/>
  <c r="D22" i="191"/>
  <c r="M21" i="191"/>
  <c r="K21" i="191"/>
  <c r="I21" i="191"/>
  <c r="G21" i="191"/>
  <c r="F21" i="191"/>
  <c r="E21" i="191"/>
  <c r="D21" i="191"/>
  <c r="M20" i="191"/>
  <c r="L20" i="191"/>
  <c r="K20" i="191"/>
  <c r="J20" i="191"/>
  <c r="I20" i="191"/>
  <c r="H20" i="191"/>
  <c r="G20" i="191"/>
  <c r="F20" i="191"/>
  <c r="E20" i="191"/>
  <c r="D20" i="191"/>
  <c r="M19" i="191"/>
  <c r="L19" i="191"/>
  <c r="K19" i="191"/>
  <c r="J19" i="191"/>
  <c r="I19" i="191"/>
  <c r="H19" i="191"/>
  <c r="G19" i="191"/>
  <c r="F19" i="191"/>
  <c r="E19" i="191"/>
  <c r="D19" i="191"/>
  <c r="M18" i="191"/>
  <c r="L18" i="191"/>
  <c r="J18" i="191"/>
  <c r="H18" i="191"/>
  <c r="G18" i="191"/>
  <c r="E18" i="191"/>
  <c r="D18" i="191"/>
  <c r="M17" i="191"/>
  <c r="L17" i="191"/>
  <c r="K17" i="191"/>
  <c r="J17" i="191"/>
  <c r="I17" i="191"/>
  <c r="H17" i="191"/>
  <c r="G17" i="191"/>
  <c r="F17" i="191"/>
  <c r="E17" i="191"/>
  <c r="D17" i="191"/>
  <c r="M16" i="191"/>
  <c r="L16" i="191"/>
  <c r="K16" i="191"/>
  <c r="J16" i="191"/>
  <c r="I16" i="191"/>
  <c r="H16" i="191"/>
  <c r="G16" i="191"/>
  <c r="F16" i="191"/>
  <c r="E16" i="191"/>
  <c r="D16" i="191"/>
  <c r="M13" i="191"/>
  <c r="L13" i="191"/>
  <c r="K13" i="191"/>
  <c r="I6" i="191" s="1"/>
  <c r="J13" i="191"/>
  <c r="I13" i="191"/>
  <c r="H13" i="191"/>
  <c r="G13" i="191"/>
  <c r="F13" i="191"/>
  <c r="D13" i="191"/>
  <c r="M6" i="191"/>
  <c r="F3" i="191"/>
  <c r="C3" i="191"/>
  <c r="F8" i="199" l="1"/>
  <c r="G8" i="199"/>
  <c r="E8" i="199"/>
  <c r="I7" i="197"/>
  <c r="K15" i="197"/>
  <c r="I8" i="197" s="1"/>
  <c r="F7" i="197"/>
  <c r="G7" i="197"/>
  <c r="E7" i="197"/>
  <c r="D15" i="197"/>
  <c r="Q44" i="196"/>
  <c r="R38" i="196" s="1"/>
  <c r="L14" i="195"/>
  <c r="L15" i="195" s="1"/>
  <c r="P44" i="196"/>
  <c r="P71" i="196"/>
  <c r="Q71" i="196"/>
  <c r="R65" i="196" s="1"/>
  <c r="M14" i="195"/>
  <c r="M15" i="195" s="1"/>
  <c r="H14" i="195"/>
  <c r="H15" i="195" s="1"/>
  <c r="Q49" i="196"/>
  <c r="R45" i="196" s="1"/>
  <c r="P49" i="196"/>
  <c r="G14" i="195"/>
  <c r="G15" i="195" s="1"/>
  <c r="Q30" i="196"/>
  <c r="R23" i="196" s="1"/>
  <c r="P30" i="196"/>
  <c r="J14" i="195"/>
  <c r="J15" i="195" s="1"/>
  <c r="Q64" i="196"/>
  <c r="R60" i="196" s="1"/>
  <c r="P64" i="196"/>
  <c r="K14" i="195"/>
  <c r="P37" i="196"/>
  <c r="Q37" i="196"/>
  <c r="R31" i="196" s="1"/>
  <c r="E14" i="195"/>
  <c r="Q14" i="196"/>
  <c r="R9" i="196" s="1"/>
  <c r="P14" i="196"/>
  <c r="D2" i="196"/>
  <c r="F14" i="195"/>
  <c r="F15" i="195" s="1"/>
  <c r="Q22" i="196"/>
  <c r="R15" i="196" s="1"/>
  <c r="P22" i="196"/>
  <c r="I14" i="195"/>
  <c r="I15" i="195" s="1"/>
  <c r="Q59" i="196"/>
  <c r="R50" i="196" s="1"/>
  <c r="P59" i="196"/>
  <c r="N40" i="194"/>
  <c r="AF40" i="194"/>
  <c r="AG34" i="194" s="1"/>
  <c r="AE40" i="194"/>
  <c r="N54" i="194"/>
  <c r="AF54" i="194"/>
  <c r="AG46" i="194" s="1"/>
  <c r="AE54" i="194"/>
  <c r="Q41" i="194"/>
  <c r="P41" i="194"/>
  <c r="Q7" i="194"/>
  <c r="R5" i="194" s="1"/>
  <c r="P7" i="194"/>
  <c r="D14" i="193"/>
  <c r="Q37" i="194"/>
  <c r="P37" i="194"/>
  <c r="Q61" i="194"/>
  <c r="P61" i="194"/>
  <c r="N45" i="194"/>
  <c r="AF45" i="194"/>
  <c r="AG41" i="194" s="1"/>
  <c r="AE45" i="194"/>
  <c r="Q38" i="194"/>
  <c r="P38" i="194"/>
  <c r="Q50" i="194"/>
  <c r="P50" i="194"/>
  <c r="Q58" i="194"/>
  <c r="P58" i="194"/>
  <c r="Q49" i="194"/>
  <c r="P49" i="194"/>
  <c r="Q31" i="194"/>
  <c r="P31" i="194"/>
  <c r="AF27" i="194"/>
  <c r="AG21" i="194" s="1"/>
  <c r="AE27" i="194"/>
  <c r="N27" i="194"/>
  <c r="Q28" i="194"/>
  <c r="P28" i="194"/>
  <c r="N59" i="194"/>
  <c r="AF59" i="194"/>
  <c r="AG55" i="194" s="1"/>
  <c r="AE59" i="194"/>
  <c r="Q44" i="194"/>
  <c r="P44" i="194"/>
  <c r="Q53" i="194"/>
  <c r="P53" i="194"/>
  <c r="P43" i="194"/>
  <c r="Q43" i="194"/>
  <c r="Q30" i="194"/>
  <c r="P30" i="194"/>
  <c r="Q24" i="194"/>
  <c r="P24" i="194"/>
  <c r="Q62" i="194"/>
  <c r="P62" i="194"/>
  <c r="Q55" i="194"/>
  <c r="P55" i="194"/>
  <c r="Q11" i="194"/>
  <c r="P11" i="194"/>
  <c r="Q39" i="194"/>
  <c r="P39" i="194"/>
  <c r="AF65" i="194"/>
  <c r="AG60" i="194" s="1"/>
  <c r="AE65" i="194"/>
  <c r="N65" i="194"/>
  <c r="Q10" i="194"/>
  <c r="P10" i="194"/>
  <c r="Q33" i="194"/>
  <c r="R28" i="194" s="1"/>
  <c r="K14" i="193"/>
  <c r="P33" i="194"/>
  <c r="Q42" i="194"/>
  <c r="P42" i="194"/>
  <c r="N20" i="194"/>
  <c r="AF20" i="194"/>
  <c r="AG13" i="194" s="1"/>
  <c r="AE20" i="194"/>
  <c r="Q15" i="194"/>
  <c r="P15" i="194"/>
  <c r="P21" i="194"/>
  <c r="Q21" i="194"/>
  <c r="P57" i="194"/>
  <c r="Q57" i="194"/>
  <c r="Q34" i="194"/>
  <c r="P34" i="194"/>
  <c r="Q56" i="194"/>
  <c r="P56" i="194"/>
  <c r="P22" i="194"/>
  <c r="Q22" i="194"/>
  <c r="Q48" i="194"/>
  <c r="P48" i="194"/>
  <c r="Q18" i="194"/>
  <c r="P18" i="194"/>
  <c r="Q29" i="194"/>
  <c r="P29" i="194"/>
  <c r="Q26" i="194"/>
  <c r="P26" i="194"/>
  <c r="Q46" i="194"/>
  <c r="P46" i="194"/>
  <c r="Q14" i="194"/>
  <c r="P14" i="194"/>
  <c r="Q64" i="194"/>
  <c r="P64" i="194"/>
  <c r="Q23" i="194"/>
  <c r="P23" i="194"/>
  <c r="Q19" i="194"/>
  <c r="P19" i="194"/>
  <c r="N22" i="192"/>
  <c r="AF22" i="192"/>
  <c r="AE22" i="192"/>
  <c r="M28" i="192"/>
  <c r="N45" i="192"/>
  <c r="M49" i="192"/>
  <c r="AF45" i="192"/>
  <c r="AE45" i="192"/>
  <c r="Q67" i="192"/>
  <c r="P67" i="192"/>
  <c r="AF20" i="192"/>
  <c r="AE20" i="192"/>
  <c r="N20" i="192"/>
  <c r="N25" i="192"/>
  <c r="AE25" i="192"/>
  <c r="AF25" i="192"/>
  <c r="AF43" i="192"/>
  <c r="AE43" i="192"/>
  <c r="N43" i="192"/>
  <c r="N48" i="192"/>
  <c r="AE48" i="192"/>
  <c r="AF48" i="192"/>
  <c r="N65" i="192"/>
  <c r="AE65" i="192"/>
  <c r="AF65" i="192"/>
  <c r="Q9" i="192"/>
  <c r="P9" i="192"/>
  <c r="N23" i="192"/>
  <c r="AF23" i="192"/>
  <c r="AE23" i="192"/>
  <c r="N46" i="192"/>
  <c r="AF46" i="192"/>
  <c r="AE46" i="192"/>
  <c r="Q51" i="192"/>
  <c r="P51" i="192"/>
  <c r="Q30" i="192"/>
  <c r="P30" i="192"/>
  <c r="N66" i="192"/>
  <c r="AF66" i="192"/>
  <c r="AE66" i="192"/>
  <c r="Q5" i="192"/>
  <c r="P5" i="192"/>
  <c r="Q69" i="192"/>
  <c r="P69" i="192"/>
  <c r="Q6" i="192"/>
  <c r="P6" i="192"/>
  <c r="Q64" i="192"/>
  <c r="P64" i="192"/>
  <c r="N59" i="192"/>
  <c r="M63" i="192"/>
  <c r="AF59" i="192"/>
  <c r="AE59" i="192"/>
  <c r="N24" i="192"/>
  <c r="AF24" i="192"/>
  <c r="AE24" i="192"/>
  <c r="N47" i="192"/>
  <c r="AF47" i="192"/>
  <c r="AE47" i="192"/>
  <c r="G6" i="191"/>
  <c r="F6" i="191"/>
  <c r="E6" i="191"/>
  <c r="N60" i="192"/>
  <c r="AF60" i="192"/>
  <c r="AE60" i="192"/>
  <c r="AF41" i="192"/>
  <c r="AE41" i="192"/>
  <c r="N41" i="192"/>
  <c r="N61" i="192"/>
  <c r="AF61" i="192"/>
  <c r="AE61" i="192"/>
  <c r="N26" i="192"/>
  <c r="AF26" i="192"/>
  <c r="AE26" i="192"/>
  <c r="F2" i="192"/>
  <c r="I3" i="191"/>
  <c r="Q27" i="192"/>
  <c r="P27" i="192"/>
  <c r="N58" i="192"/>
  <c r="AF58" i="192"/>
  <c r="AG50" i="192" s="1"/>
  <c r="AE58" i="192"/>
  <c r="AF57" i="192"/>
  <c r="AE57" i="192"/>
  <c r="N57" i="192"/>
  <c r="N62" i="192"/>
  <c r="AE62" i="192"/>
  <c r="AF62" i="192"/>
  <c r="AF5" i="192"/>
  <c r="AF6" i="192"/>
  <c r="AF9" i="192"/>
  <c r="N19" i="192"/>
  <c r="AF27" i="192"/>
  <c r="AF30" i="192"/>
  <c r="N36" i="192"/>
  <c r="N37" i="192"/>
  <c r="N40" i="192"/>
  <c r="N42" i="192"/>
  <c r="AF50" i="192"/>
  <c r="AF51" i="192"/>
  <c r="N56" i="192"/>
  <c r="AF67" i="192"/>
  <c r="AF69" i="192"/>
  <c r="M7" i="192"/>
  <c r="N14" i="192"/>
  <c r="N17" i="192"/>
  <c r="N33" i="192"/>
  <c r="N35" i="192"/>
  <c r="N38" i="192"/>
  <c r="N54" i="192"/>
  <c r="AF64" i="192"/>
  <c r="H21" i="191"/>
  <c r="M13" i="192"/>
  <c r="N18" i="192"/>
  <c r="N39" i="192"/>
  <c r="N55" i="192"/>
  <c r="AE64" i="192"/>
  <c r="M71" i="192"/>
  <c r="P8" i="192"/>
  <c r="P11" i="192"/>
  <c r="P16" i="192"/>
  <c r="P29" i="192"/>
  <c r="P32" i="192"/>
  <c r="P34" i="192"/>
  <c r="N50" i="192"/>
  <c r="P53" i="192"/>
  <c r="P10" i="192"/>
  <c r="P12" i="192"/>
  <c r="P15" i="192"/>
  <c r="AE19" i="192"/>
  <c r="P31" i="192"/>
  <c r="AE40" i="192"/>
  <c r="AE42" i="192"/>
  <c r="P52" i="192"/>
  <c r="AE56" i="192"/>
  <c r="P68" i="192"/>
  <c r="P70" i="192"/>
  <c r="AE18" i="192"/>
  <c r="AE36" i="192"/>
  <c r="AE39" i="192"/>
  <c r="AE55" i="192"/>
  <c r="AE17" i="192"/>
  <c r="M21" i="192"/>
  <c r="AE35" i="192"/>
  <c r="AE37" i="192"/>
  <c r="AE38" i="192"/>
  <c r="M44" i="192"/>
  <c r="AE54" i="192"/>
  <c r="AE16" i="192"/>
  <c r="AE32" i="192"/>
  <c r="AE34" i="192"/>
  <c r="AE53" i="192"/>
  <c r="AD74" i="190"/>
  <c r="Z74" i="190"/>
  <c r="Y74" i="190"/>
  <c r="O74" i="190"/>
  <c r="K74" i="190"/>
  <c r="M13" i="189" s="1"/>
  <c r="V73" i="190"/>
  <c r="M73" i="190" s="1"/>
  <c r="U73" i="190"/>
  <c r="O73" i="190"/>
  <c r="K73" i="190"/>
  <c r="G73" i="190"/>
  <c r="V72" i="190"/>
  <c r="M72" i="190" s="1"/>
  <c r="U72" i="190"/>
  <c r="O72" i="190"/>
  <c r="K72" i="190"/>
  <c r="G72" i="190"/>
  <c r="X71" i="190"/>
  <c r="W71" i="190"/>
  <c r="V71" i="190"/>
  <c r="M71" i="190" s="1"/>
  <c r="U71" i="190"/>
  <c r="O71" i="190"/>
  <c r="K71" i="190"/>
  <c r="G71" i="190"/>
  <c r="V70" i="190"/>
  <c r="U70" i="190"/>
  <c r="O70" i="190"/>
  <c r="N70" i="190"/>
  <c r="Q70" i="190" s="1"/>
  <c r="M70" i="190"/>
  <c r="AF70" i="190" s="1"/>
  <c r="K70" i="190"/>
  <c r="G70" i="190"/>
  <c r="V69" i="190"/>
  <c r="U69" i="190"/>
  <c r="O69" i="190"/>
  <c r="M69" i="190"/>
  <c r="N69" i="190" s="1"/>
  <c r="K69" i="190"/>
  <c r="G69" i="190"/>
  <c r="V68" i="190"/>
  <c r="U68" i="190"/>
  <c r="O68" i="190"/>
  <c r="M68" i="190"/>
  <c r="AF68" i="190" s="1"/>
  <c r="K68" i="190"/>
  <c r="G68" i="190"/>
  <c r="X67" i="190"/>
  <c r="W67" i="190"/>
  <c r="V67" i="190"/>
  <c r="M67" i="190" s="1"/>
  <c r="O67" i="190"/>
  <c r="K67" i="190"/>
  <c r="G67" i="190"/>
  <c r="AD66" i="190"/>
  <c r="Z66" i="190"/>
  <c r="J19" i="189" s="1"/>
  <c r="Y66" i="190"/>
  <c r="O66" i="190"/>
  <c r="K66" i="190"/>
  <c r="V65" i="190"/>
  <c r="U65" i="190"/>
  <c r="O65" i="190"/>
  <c r="M65" i="190"/>
  <c r="AF65" i="190" s="1"/>
  <c r="K65" i="190"/>
  <c r="G65" i="190"/>
  <c r="V64" i="190"/>
  <c r="M64" i="190" s="1"/>
  <c r="U64" i="190"/>
  <c r="O64" i="190"/>
  <c r="K64" i="190"/>
  <c r="G64" i="190"/>
  <c r="V63" i="190"/>
  <c r="U63" i="190"/>
  <c r="O63" i="190"/>
  <c r="N63" i="190"/>
  <c r="Q63" i="190" s="1"/>
  <c r="M63" i="190"/>
  <c r="AF63" i="190" s="1"/>
  <c r="K63" i="190"/>
  <c r="G63" i="190"/>
  <c r="AF62" i="190"/>
  <c r="AE62" i="190"/>
  <c r="V62" i="190"/>
  <c r="O62" i="190"/>
  <c r="N62" i="190"/>
  <c r="Q62" i="190" s="1"/>
  <c r="M62" i="190"/>
  <c r="K62" i="190"/>
  <c r="G62" i="190"/>
  <c r="AD61" i="190"/>
  <c r="Z61" i="190"/>
  <c r="I19" i="189" s="1"/>
  <c r="Y61" i="190"/>
  <c r="I18" i="189" s="1"/>
  <c r="O61" i="190"/>
  <c r="K61" i="190"/>
  <c r="V60" i="190"/>
  <c r="U60" i="190"/>
  <c r="O60" i="190"/>
  <c r="M60" i="190"/>
  <c r="AF60" i="190" s="1"/>
  <c r="K60" i="190"/>
  <c r="G60" i="190"/>
  <c r="V59" i="190"/>
  <c r="M59" i="190" s="1"/>
  <c r="U59" i="190"/>
  <c r="O59" i="190"/>
  <c r="K59" i="190"/>
  <c r="G59" i="190"/>
  <c r="V58" i="190"/>
  <c r="M58" i="190" s="1"/>
  <c r="U58" i="190"/>
  <c r="O58" i="190"/>
  <c r="K58" i="190"/>
  <c r="G58" i="190"/>
  <c r="V57" i="190"/>
  <c r="M57" i="190" s="1"/>
  <c r="U57" i="190"/>
  <c r="O57" i="190"/>
  <c r="K57" i="190"/>
  <c r="G57" i="190"/>
  <c r="V56" i="190"/>
  <c r="U56" i="190"/>
  <c r="O56" i="190"/>
  <c r="M56" i="190"/>
  <c r="AF56" i="190" s="1"/>
  <c r="K56" i="190"/>
  <c r="G56" i="190"/>
  <c r="V55" i="190"/>
  <c r="M55" i="190" s="1"/>
  <c r="U55" i="190"/>
  <c r="O55" i="190"/>
  <c r="K55" i="190"/>
  <c r="G55" i="190"/>
  <c r="V54" i="190"/>
  <c r="U54" i="190"/>
  <c r="O54" i="190"/>
  <c r="N54" i="190"/>
  <c r="Q54" i="190" s="1"/>
  <c r="M54" i="190"/>
  <c r="AF54" i="190" s="1"/>
  <c r="K54" i="190"/>
  <c r="G54" i="190"/>
  <c r="AF53" i="190"/>
  <c r="AE53" i="190"/>
  <c r="V53" i="190"/>
  <c r="O53" i="190"/>
  <c r="N53" i="190"/>
  <c r="Q53" i="190" s="1"/>
  <c r="M53" i="190"/>
  <c r="K53" i="190"/>
  <c r="G53" i="190"/>
  <c r="AD52" i="190"/>
  <c r="H21" i="189" s="1"/>
  <c r="Z52" i="190"/>
  <c r="H19" i="189" s="1"/>
  <c r="Y52" i="190"/>
  <c r="O52" i="190"/>
  <c r="K52" i="190"/>
  <c r="V51" i="190"/>
  <c r="U51" i="190"/>
  <c r="O51" i="190"/>
  <c r="M51" i="190"/>
  <c r="AF51" i="190" s="1"/>
  <c r="K51" i="190"/>
  <c r="G51" i="190"/>
  <c r="V50" i="190"/>
  <c r="M50" i="190" s="1"/>
  <c r="U50" i="190"/>
  <c r="O50" i="190"/>
  <c r="K50" i="190"/>
  <c r="G50" i="190"/>
  <c r="V49" i="190"/>
  <c r="M49" i="190" s="1"/>
  <c r="U49" i="190"/>
  <c r="O49" i="190"/>
  <c r="K49" i="190"/>
  <c r="G49" i="190"/>
  <c r="V48" i="190"/>
  <c r="M48" i="190" s="1"/>
  <c r="O48" i="190"/>
  <c r="K48" i="190"/>
  <c r="G48" i="190"/>
  <c r="AD47" i="190"/>
  <c r="L21" i="189" s="1"/>
  <c r="Z47" i="190"/>
  <c r="L19" i="189" s="1"/>
  <c r="Y47" i="190"/>
  <c r="O47" i="190"/>
  <c r="K47" i="190"/>
  <c r="L13" i="189" s="1"/>
  <c r="I6" i="189" s="1"/>
  <c r="V46" i="190"/>
  <c r="M46" i="190" s="1"/>
  <c r="U46" i="190"/>
  <c r="O46" i="190"/>
  <c r="K46" i="190"/>
  <c r="G46" i="190"/>
  <c r="V45" i="190"/>
  <c r="M45" i="190" s="1"/>
  <c r="U45" i="190"/>
  <c r="O45" i="190"/>
  <c r="K45" i="190"/>
  <c r="G45" i="190"/>
  <c r="AF44" i="190"/>
  <c r="AE44" i="190"/>
  <c r="V44" i="190"/>
  <c r="U44" i="190"/>
  <c r="O44" i="190"/>
  <c r="N44" i="190"/>
  <c r="Q44" i="190" s="1"/>
  <c r="M44" i="190"/>
  <c r="K44" i="190"/>
  <c r="G44" i="190"/>
  <c r="X43" i="190"/>
  <c r="W43" i="190"/>
  <c r="V43" i="190"/>
  <c r="M43" i="190" s="1"/>
  <c r="U43" i="190"/>
  <c r="O43" i="190"/>
  <c r="K43" i="190"/>
  <c r="G43" i="190"/>
  <c r="V42" i="190"/>
  <c r="M42" i="190" s="1"/>
  <c r="U42" i="190"/>
  <c r="O42" i="190"/>
  <c r="K42" i="190"/>
  <c r="G42" i="190"/>
  <c r="V41" i="190"/>
  <c r="M41" i="190" s="1"/>
  <c r="U41" i="190"/>
  <c r="O41" i="190"/>
  <c r="K41" i="190"/>
  <c r="G41" i="190"/>
  <c r="V40" i="190"/>
  <c r="U40" i="190"/>
  <c r="O40" i="190"/>
  <c r="M40" i="190"/>
  <c r="AF40" i="190" s="1"/>
  <c r="K40" i="190"/>
  <c r="G40" i="190"/>
  <c r="AF39" i="190"/>
  <c r="AE39" i="190"/>
  <c r="X39" i="190"/>
  <c r="W39" i="190"/>
  <c r="V39" i="190"/>
  <c r="O39" i="190"/>
  <c r="N39" i="190"/>
  <c r="Q39" i="190" s="1"/>
  <c r="M39" i="190"/>
  <c r="K39" i="190"/>
  <c r="G39" i="190"/>
  <c r="AD38" i="190"/>
  <c r="K21" i="189" s="1"/>
  <c r="Z38" i="190"/>
  <c r="K19" i="189" s="1"/>
  <c r="Y38" i="190"/>
  <c r="O38" i="190"/>
  <c r="K38" i="190"/>
  <c r="V37" i="190"/>
  <c r="U37" i="190"/>
  <c r="O37" i="190"/>
  <c r="M37" i="190"/>
  <c r="AF37" i="190" s="1"/>
  <c r="K37" i="190"/>
  <c r="G37" i="190"/>
  <c r="V36" i="190"/>
  <c r="M36" i="190" s="1"/>
  <c r="U36" i="190"/>
  <c r="O36" i="190"/>
  <c r="K36" i="190"/>
  <c r="G36" i="190"/>
  <c r="X35" i="190"/>
  <c r="W35" i="190"/>
  <c r="V35" i="190"/>
  <c r="U35" i="190"/>
  <c r="O35" i="190"/>
  <c r="M35" i="190"/>
  <c r="AF35" i="190" s="1"/>
  <c r="K35" i="190"/>
  <c r="G35" i="190"/>
  <c r="V34" i="190"/>
  <c r="M34" i="190" s="1"/>
  <c r="U34" i="190"/>
  <c r="O34" i="190"/>
  <c r="K34" i="190"/>
  <c r="G34" i="190"/>
  <c r="V33" i="190"/>
  <c r="U33" i="190"/>
  <c r="O33" i="190"/>
  <c r="N33" i="190"/>
  <c r="Q33" i="190" s="1"/>
  <c r="M33" i="190"/>
  <c r="AF33" i="190" s="1"/>
  <c r="K33" i="190"/>
  <c r="G33" i="190"/>
  <c r="V32" i="190"/>
  <c r="U32" i="190"/>
  <c r="O32" i="190"/>
  <c r="M32" i="190"/>
  <c r="N32" i="190" s="1"/>
  <c r="K32" i="190"/>
  <c r="G32" i="190"/>
  <c r="X31" i="190"/>
  <c r="W31" i="190"/>
  <c r="V31" i="190"/>
  <c r="M31" i="190" s="1"/>
  <c r="O31" i="190"/>
  <c r="K31" i="190"/>
  <c r="G31" i="190"/>
  <c r="AD30" i="190"/>
  <c r="Z30" i="190"/>
  <c r="G19" i="189" s="1"/>
  <c r="Y30" i="190"/>
  <c r="O30" i="190"/>
  <c r="K30" i="190"/>
  <c r="G13" i="189" s="1"/>
  <c r="V29" i="190"/>
  <c r="M29" i="190" s="1"/>
  <c r="U29" i="190"/>
  <c r="O29" i="190"/>
  <c r="K29" i="190"/>
  <c r="G29" i="190"/>
  <c r="AE28" i="190"/>
  <c r="X28" i="190"/>
  <c r="W28" i="190"/>
  <c r="V28" i="190"/>
  <c r="U28" i="190"/>
  <c r="O28" i="190"/>
  <c r="N28" i="190"/>
  <c r="Q28" i="190" s="1"/>
  <c r="M28" i="190"/>
  <c r="AF28" i="190" s="1"/>
  <c r="K28" i="190"/>
  <c r="G28" i="190"/>
  <c r="V27" i="190"/>
  <c r="U27" i="190"/>
  <c r="O27" i="190"/>
  <c r="M27" i="190"/>
  <c r="N27" i="190" s="1"/>
  <c r="K27" i="190"/>
  <c r="G27" i="190"/>
  <c r="V26" i="190"/>
  <c r="U26" i="190"/>
  <c r="O26" i="190"/>
  <c r="M26" i="190"/>
  <c r="AF26" i="190" s="1"/>
  <c r="K26" i="190"/>
  <c r="G26" i="190"/>
  <c r="AF25" i="190"/>
  <c r="V25" i="190"/>
  <c r="U25" i="190"/>
  <c r="O25" i="190"/>
  <c r="M25" i="190"/>
  <c r="AE25" i="190" s="1"/>
  <c r="K25" i="190"/>
  <c r="G25" i="190"/>
  <c r="V24" i="190"/>
  <c r="M24" i="190" s="1"/>
  <c r="U24" i="190"/>
  <c r="O24" i="190"/>
  <c r="K24" i="190"/>
  <c r="G24" i="190"/>
  <c r="V23" i="190"/>
  <c r="O23" i="190"/>
  <c r="N23" i="190"/>
  <c r="Q23" i="190" s="1"/>
  <c r="M23" i="190"/>
  <c r="AF23" i="190" s="1"/>
  <c r="K23" i="190"/>
  <c r="G23" i="190"/>
  <c r="AD22" i="190"/>
  <c r="Z22" i="190"/>
  <c r="F19" i="189" s="1"/>
  <c r="Y22" i="190"/>
  <c r="O22" i="190"/>
  <c r="K22" i="190"/>
  <c r="V21" i="190"/>
  <c r="U21" i="190"/>
  <c r="O21" i="190"/>
  <c r="M21" i="190"/>
  <c r="AF21" i="190" s="1"/>
  <c r="K21" i="190"/>
  <c r="G21" i="190"/>
  <c r="AE20" i="190"/>
  <c r="X20" i="190"/>
  <c r="W20" i="190"/>
  <c r="V20" i="190"/>
  <c r="U20" i="190"/>
  <c r="O20" i="190"/>
  <c r="M20" i="190"/>
  <c r="N20" i="190" s="1"/>
  <c r="K20" i="190"/>
  <c r="G20" i="190"/>
  <c r="V19" i="190"/>
  <c r="U19" i="190"/>
  <c r="O19" i="190"/>
  <c r="M19" i="190"/>
  <c r="AF19" i="190" s="1"/>
  <c r="K19" i="190"/>
  <c r="G19" i="190"/>
  <c r="AF18" i="190"/>
  <c r="V18" i="190"/>
  <c r="U18" i="190"/>
  <c r="O18" i="190"/>
  <c r="M18" i="190"/>
  <c r="AE18" i="190" s="1"/>
  <c r="K18" i="190"/>
  <c r="G18" i="190"/>
  <c r="V17" i="190"/>
  <c r="M17" i="190" s="1"/>
  <c r="U17" i="190"/>
  <c r="O17" i="190"/>
  <c r="K17" i="190"/>
  <c r="G17" i="190"/>
  <c r="V16" i="190"/>
  <c r="U16" i="190"/>
  <c r="O16" i="190"/>
  <c r="M16" i="190"/>
  <c r="AF16" i="190" s="1"/>
  <c r="K16" i="190"/>
  <c r="G16" i="190"/>
  <c r="V15" i="190"/>
  <c r="M15" i="190" s="1"/>
  <c r="U15" i="190"/>
  <c r="O15" i="190"/>
  <c r="K15" i="190"/>
  <c r="G15" i="190"/>
  <c r="AE14" i="190"/>
  <c r="X14" i="190"/>
  <c r="W14" i="190"/>
  <c r="V14" i="190"/>
  <c r="O14" i="190"/>
  <c r="N14" i="190"/>
  <c r="Q14" i="190" s="1"/>
  <c r="M14" i="190"/>
  <c r="AF14" i="190" s="1"/>
  <c r="K14" i="190"/>
  <c r="G14" i="190"/>
  <c r="AD13" i="190"/>
  <c r="Z13" i="190"/>
  <c r="Y13" i="190"/>
  <c r="O13" i="190"/>
  <c r="K13" i="190"/>
  <c r="V12" i="190"/>
  <c r="U12" i="190"/>
  <c r="O12" i="190"/>
  <c r="M12" i="190"/>
  <c r="AF12" i="190" s="1"/>
  <c r="K12" i="190"/>
  <c r="G12" i="190"/>
  <c r="X11" i="190"/>
  <c r="W11" i="190"/>
  <c r="V11" i="190"/>
  <c r="U11" i="190"/>
  <c r="O11" i="190"/>
  <c r="M11" i="190"/>
  <c r="AE11" i="190" s="1"/>
  <c r="K11" i="190"/>
  <c r="G11" i="190"/>
  <c r="V10" i="190"/>
  <c r="M10" i="190" s="1"/>
  <c r="U10" i="190"/>
  <c r="O10" i="190"/>
  <c r="K10" i="190"/>
  <c r="G10" i="190"/>
  <c r="V9" i="190"/>
  <c r="U9" i="190"/>
  <c r="O9" i="190"/>
  <c r="M9" i="190"/>
  <c r="AE9" i="190" s="1"/>
  <c r="K9" i="190"/>
  <c r="G9" i="190"/>
  <c r="F1" i="190" s="1"/>
  <c r="AE8" i="190"/>
  <c r="X8" i="190"/>
  <c r="W8" i="190"/>
  <c r="V8" i="190"/>
  <c r="O8" i="190"/>
  <c r="M8" i="190"/>
  <c r="N8" i="190" s="1"/>
  <c r="K8" i="190"/>
  <c r="G8" i="190"/>
  <c r="AD7" i="190"/>
  <c r="AD2" i="190" s="1"/>
  <c r="N6" i="189" s="1"/>
  <c r="Z7" i="190"/>
  <c r="Z2" i="190" s="1"/>
  <c r="L6" i="189" s="1"/>
  <c r="Y7" i="190"/>
  <c r="D18" i="189" s="1"/>
  <c r="O7" i="190"/>
  <c r="K7" i="190"/>
  <c r="AF6" i="190"/>
  <c r="V6" i="190"/>
  <c r="U6" i="190"/>
  <c r="O6" i="190"/>
  <c r="M6" i="190"/>
  <c r="AE6" i="190" s="1"/>
  <c r="K6" i="190"/>
  <c r="G6" i="190"/>
  <c r="V5" i="190"/>
  <c r="M5" i="190" s="1"/>
  <c r="O5" i="190"/>
  <c r="K5" i="190"/>
  <c r="G5" i="190"/>
  <c r="H2" i="190"/>
  <c r="H1" i="190"/>
  <c r="D1" i="190"/>
  <c r="M22" i="189"/>
  <c r="L22" i="189"/>
  <c r="K22" i="189"/>
  <c r="J22" i="189"/>
  <c r="I22" i="189"/>
  <c r="H22" i="189"/>
  <c r="G22" i="189"/>
  <c r="F22" i="189"/>
  <c r="E22" i="189"/>
  <c r="D22" i="189"/>
  <c r="M21" i="189"/>
  <c r="J21" i="189"/>
  <c r="I21" i="189"/>
  <c r="G21" i="189"/>
  <c r="F21" i="189"/>
  <c r="E21" i="189"/>
  <c r="D21" i="189"/>
  <c r="M20" i="189"/>
  <c r="L20" i="189"/>
  <c r="K20" i="189"/>
  <c r="J20" i="189"/>
  <c r="I20" i="189"/>
  <c r="H20" i="189"/>
  <c r="G20" i="189"/>
  <c r="F20" i="189"/>
  <c r="E20" i="189"/>
  <c r="D20" i="189"/>
  <c r="M19" i="189"/>
  <c r="E19" i="189"/>
  <c r="M18" i="189"/>
  <c r="L18" i="189"/>
  <c r="K18" i="189"/>
  <c r="J18" i="189"/>
  <c r="H18" i="189"/>
  <c r="G18" i="189"/>
  <c r="F18" i="189"/>
  <c r="E18" i="189"/>
  <c r="M17" i="189"/>
  <c r="L17" i="189"/>
  <c r="K17" i="189"/>
  <c r="J17" i="189"/>
  <c r="I17" i="189"/>
  <c r="H17" i="189"/>
  <c r="G17" i="189"/>
  <c r="F17" i="189"/>
  <c r="E17" i="189"/>
  <c r="D17" i="189"/>
  <c r="M16" i="189"/>
  <c r="L16" i="189"/>
  <c r="K16" i="189"/>
  <c r="J16" i="189"/>
  <c r="I16" i="189"/>
  <c r="H16" i="189"/>
  <c r="G16" i="189"/>
  <c r="F16" i="189"/>
  <c r="E16" i="189"/>
  <c r="D16" i="189"/>
  <c r="K13" i="189"/>
  <c r="J13" i="189"/>
  <c r="I13" i="189"/>
  <c r="H13" i="189"/>
  <c r="F13" i="189"/>
  <c r="E13" i="189"/>
  <c r="D13" i="189"/>
  <c r="F6" i="189" s="1"/>
  <c r="M6" i="189"/>
  <c r="F3" i="189"/>
  <c r="C3" i="189"/>
  <c r="G8" i="197" l="1"/>
  <c r="F8" i="197"/>
  <c r="E8" i="197"/>
  <c r="E15" i="195"/>
  <c r="G7" i="195"/>
  <c r="F7" i="195"/>
  <c r="E7" i="195"/>
  <c r="I7" i="195"/>
  <c r="K15" i="195"/>
  <c r="I8" i="195" s="1"/>
  <c r="D15" i="193"/>
  <c r="Q59" i="194"/>
  <c r="R55" i="194" s="1"/>
  <c r="P59" i="194"/>
  <c r="J14" i="193"/>
  <c r="J15" i="193" s="1"/>
  <c r="P20" i="194"/>
  <c r="F14" i="193"/>
  <c r="F15" i="193" s="1"/>
  <c r="Q20" i="194"/>
  <c r="R13" i="194" s="1"/>
  <c r="Q45" i="194"/>
  <c r="R41" i="194" s="1"/>
  <c r="P45" i="194"/>
  <c r="H14" i="193"/>
  <c r="H15" i="193" s="1"/>
  <c r="Q27" i="194"/>
  <c r="R21" i="194" s="1"/>
  <c r="P27" i="194"/>
  <c r="G14" i="193"/>
  <c r="G15" i="193" s="1"/>
  <c r="I14" i="193"/>
  <c r="I15" i="193" s="1"/>
  <c r="Q54" i="194"/>
  <c r="R46" i="194" s="1"/>
  <c r="P54" i="194"/>
  <c r="Q65" i="194"/>
  <c r="R60" i="194" s="1"/>
  <c r="P65" i="194"/>
  <c r="M14" i="193"/>
  <c r="M15" i="193" s="1"/>
  <c r="D2" i="194"/>
  <c r="K15" i="193"/>
  <c r="L14" i="193"/>
  <c r="L15" i="193" s="1"/>
  <c r="Q40" i="194"/>
  <c r="R34" i="194" s="1"/>
  <c r="P40" i="194"/>
  <c r="Q35" i="192"/>
  <c r="P35" i="192"/>
  <c r="Q36" i="192"/>
  <c r="R29" i="192" s="1"/>
  <c r="P36" i="192"/>
  <c r="K14" i="191"/>
  <c r="Q14" i="192"/>
  <c r="P14" i="192"/>
  <c r="P41" i="192"/>
  <c r="Q41" i="192"/>
  <c r="P46" i="192"/>
  <c r="Q46" i="192"/>
  <c r="P43" i="192"/>
  <c r="Q43" i="192"/>
  <c r="Q55" i="192"/>
  <c r="P55" i="192"/>
  <c r="AE7" i="192"/>
  <c r="AF7" i="192"/>
  <c r="AG5" i="192" s="1"/>
  <c r="N7" i="192"/>
  <c r="Q19" i="192"/>
  <c r="P19" i="192"/>
  <c r="I14" i="191"/>
  <c r="I15" i="191" s="1"/>
  <c r="P58" i="192"/>
  <c r="Q58" i="192"/>
  <c r="R50" i="192" s="1"/>
  <c r="N49" i="192"/>
  <c r="AF49" i="192"/>
  <c r="AG45" i="192" s="1"/>
  <c r="AE49" i="192"/>
  <c r="Q54" i="192"/>
  <c r="P54" i="192"/>
  <c r="Q40" i="192"/>
  <c r="P40" i="192"/>
  <c r="Q65" i="192"/>
  <c r="P65" i="192"/>
  <c r="P47" i="192"/>
  <c r="Q47" i="192"/>
  <c r="Q48" i="192"/>
  <c r="P48" i="192"/>
  <c r="P45" i="192"/>
  <c r="Q45" i="192"/>
  <c r="Q18" i="192"/>
  <c r="P18" i="192"/>
  <c r="P23" i="192"/>
  <c r="Q23" i="192"/>
  <c r="AE28" i="192"/>
  <c r="AF28" i="192"/>
  <c r="AG22" i="192" s="1"/>
  <c r="N28" i="192"/>
  <c r="Q42" i="192"/>
  <c r="P42" i="192"/>
  <c r="N21" i="192"/>
  <c r="AF21" i="192"/>
  <c r="AG14" i="192" s="1"/>
  <c r="AE21" i="192"/>
  <c r="Q33" i="192"/>
  <c r="P33" i="192"/>
  <c r="AF71" i="192"/>
  <c r="AG64" i="192" s="1"/>
  <c r="AE71" i="192"/>
  <c r="N71" i="192"/>
  <c r="P61" i="192"/>
  <c r="Q61" i="192"/>
  <c r="Q39" i="192"/>
  <c r="P39" i="192"/>
  <c r="P24" i="192"/>
  <c r="Q24" i="192"/>
  <c r="Q50" i="192"/>
  <c r="P50" i="192"/>
  <c r="AF13" i="192"/>
  <c r="AG8" i="192" s="1"/>
  <c r="AE13" i="192"/>
  <c r="N13" i="192"/>
  <c r="Q56" i="192"/>
  <c r="P56" i="192"/>
  <c r="Q62" i="192"/>
  <c r="P62" i="192"/>
  <c r="P60" i="192"/>
  <c r="Q60" i="192"/>
  <c r="N63" i="192"/>
  <c r="AF63" i="192"/>
  <c r="AG59" i="192" s="1"/>
  <c r="AE63" i="192"/>
  <c r="Q66" i="192"/>
  <c r="P66" i="192"/>
  <c r="Q25" i="192"/>
  <c r="P25" i="192"/>
  <c r="Q38" i="192"/>
  <c r="P38" i="192"/>
  <c r="P57" i="192"/>
  <c r="Q57" i="192"/>
  <c r="Q26" i="192"/>
  <c r="P26" i="192"/>
  <c r="Q37" i="192"/>
  <c r="P37" i="192"/>
  <c r="Q17" i="192"/>
  <c r="P17" i="192"/>
  <c r="N44" i="192"/>
  <c r="AF44" i="192"/>
  <c r="AG37" i="192" s="1"/>
  <c r="AE44" i="192"/>
  <c r="P59" i="192"/>
  <c r="Q59" i="192"/>
  <c r="P20" i="192"/>
  <c r="Q20" i="192"/>
  <c r="P22" i="192"/>
  <c r="Q22" i="192"/>
  <c r="AF5" i="190"/>
  <c r="AE5" i="190"/>
  <c r="M7" i="190"/>
  <c r="N5" i="190"/>
  <c r="N64" i="190"/>
  <c r="AE64" i="190"/>
  <c r="AF64" i="190"/>
  <c r="F2" i="190"/>
  <c r="I3" i="189"/>
  <c r="N71" i="190"/>
  <c r="AF71" i="190"/>
  <c r="AE71" i="190"/>
  <c r="AF24" i="190"/>
  <c r="N24" i="190"/>
  <c r="AE24" i="190"/>
  <c r="AF31" i="190"/>
  <c r="AE31" i="190"/>
  <c r="M38" i="190"/>
  <c r="N31" i="190"/>
  <c r="N34" i="190"/>
  <c r="AE34" i="190"/>
  <c r="AF34" i="190"/>
  <c r="M66" i="190"/>
  <c r="N57" i="190"/>
  <c r="AF57" i="190"/>
  <c r="AE57" i="190"/>
  <c r="AF58" i="190"/>
  <c r="AE58" i="190"/>
  <c r="N58" i="190"/>
  <c r="AF59" i="190"/>
  <c r="AE59" i="190"/>
  <c r="N59" i="190"/>
  <c r="AE15" i="190"/>
  <c r="AF15" i="190"/>
  <c r="N15" i="190"/>
  <c r="N55" i="190"/>
  <c r="AE55" i="190"/>
  <c r="AF55" i="190"/>
  <c r="M61" i="190"/>
  <c r="AE10" i="190"/>
  <c r="AF10" i="190"/>
  <c r="N10" i="190"/>
  <c r="Q20" i="190"/>
  <c r="P20" i="190"/>
  <c r="AF42" i="190"/>
  <c r="AE42" i="190"/>
  <c r="N42" i="190"/>
  <c r="AF49" i="190"/>
  <c r="AE49" i="190"/>
  <c r="N49" i="190"/>
  <c r="N29" i="190"/>
  <c r="AF29" i="190"/>
  <c r="AE29" i="190"/>
  <c r="AF45" i="190"/>
  <c r="AE45" i="190"/>
  <c r="N45" i="190"/>
  <c r="AF73" i="190"/>
  <c r="AE73" i="190"/>
  <c r="N73" i="190"/>
  <c r="N48" i="190"/>
  <c r="AF48" i="190"/>
  <c r="AE48" i="190"/>
  <c r="M52" i="190"/>
  <c r="AF72" i="190"/>
  <c r="AE72" i="190"/>
  <c r="N72" i="190"/>
  <c r="AF67" i="190"/>
  <c r="AE67" i="190"/>
  <c r="M74" i="190"/>
  <c r="N67" i="190"/>
  <c r="Q8" i="190"/>
  <c r="P8" i="190"/>
  <c r="AF17" i="190"/>
  <c r="AE17" i="190"/>
  <c r="N17" i="190"/>
  <c r="Q27" i="190"/>
  <c r="P27" i="190"/>
  <c r="AF36" i="190"/>
  <c r="AE36" i="190"/>
  <c r="N36" i="190"/>
  <c r="AF50" i="190"/>
  <c r="AE50" i="190"/>
  <c r="N50" i="190"/>
  <c r="Q69" i="190"/>
  <c r="P69" i="190"/>
  <c r="Q32" i="190"/>
  <c r="P32" i="190"/>
  <c r="N41" i="190"/>
  <c r="AF41" i="190"/>
  <c r="AE41" i="190"/>
  <c r="AF43" i="190"/>
  <c r="AE43" i="190"/>
  <c r="N43" i="190"/>
  <c r="N46" i="190"/>
  <c r="AF46" i="190"/>
  <c r="AE46" i="190"/>
  <c r="AE21" i="190"/>
  <c r="AE40" i="190"/>
  <c r="AE56" i="190"/>
  <c r="AE65" i="190"/>
  <c r="G6" i="189"/>
  <c r="AF11" i="190"/>
  <c r="AE27" i="190"/>
  <c r="AE32" i="190"/>
  <c r="AE69" i="190"/>
  <c r="N21" i="190"/>
  <c r="E6" i="189"/>
  <c r="AF27" i="190"/>
  <c r="AF32" i="190"/>
  <c r="AF69" i="190"/>
  <c r="AF8" i="190"/>
  <c r="N12" i="190"/>
  <c r="N19" i="190"/>
  <c r="AF20" i="190"/>
  <c r="N26" i="190"/>
  <c r="N68" i="190"/>
  <c r="M47" i="190"/>
  <c r="P14" i="190"/>
  <c r="P28" i="190"/>
  <c r="M30" i="190"/>
  <c r="P33" i="190"/>
  <c r="N35" i="190"/>
  <c r="N40" i="190"/>
  <c r="P54" i="190"/>
  <c r="N56" i="190"/>
  <c r="P63" i="190"/>
  <c r="N65" i="190"/>
  <c r="P70" i="190"/>
  <c r="D19" i="189"/>
  <c r="N9" i="190"/>
  <c r="AE12" i="190"/>
  <c r="AE19" i="190"/>
  <c r="AE26" i="190"/>
  <c r="AE68" i="190"/>
  <c r="N11" i="190"/>
  <c r="N16" i="190"/>
  <c r="P23" i="190"/>
  <c r="AE33" i="190"/>
  <c r="N37" i="190"/>
  <c r="N51" i="190"/>
  <c r="AE54" i="190"/>
  <c r="N60" i="190"/>
  <c r="AE63" i="190"/>
  <c r="AE70" i="190"/>
  <c r="N6" i="190"/>
  <c r="M13" i="190"/>
  <c r="N18" i="190"/>
  <c r="N25" i="190"/>
  <c r="AF9" i="190"/>
  <c r="AE23" i="190"/>
  <c r="AE35" i="190"/>
  <c r="P39" i="190"/>
  <c r="P44" i="190"/>
  <c r="P53" i="190"/>
  <c r="P62" i="190"/>
  <c r="AE16" i="190"/>
  <c r="M22" i="190"/>
  <c r="AE37" i="190"/>
  <c r="AE51" i="190"/>
  <c r="AE60" i="190"/>
  <c r="Y2" i="190"/>
  <c r="K6" i="189" s="1"/>
  <c r="D1" i="188"/>
  <c r="H1" i="188"/>
  <c r="H2" i="188"/>
  <c r="G5" i="188"/>
  <c r="K5" i="188"/>
  <c r="O5" i="188"/>
  <c r="V5" i="188"/>
  <c r="M5" i="188" s="1"/>
  <c r="G6" i="188"/>
  <c r="K6" i="188"/>
  <c r="O6" i="188"/>
  <c r="P6" i="188"/>
  <c r="U6" i="188"/>
  <c r="V6" i="188"/>
  <c r="M6" i="188" s="1"/>
  <c r="N6" i="188" s="1"/>
  <c r="Q6" i="188" s="1"/>
  <c r="K7" i="188"/>
  <c r="O7" i="188"/>
  <c r="Y7" i="188"/>
  <c r="Y2" i="188" s="1"/>
  <c r="K6" i="187" s="1"/>
  <c r="Z7" i="188"/>
  <c r="AD7" i="188"/>
  <c r="G8" i="188"/>
  <c r="K8" i="188"/>
  <c r="O8" i="188"/>
  <c r="V8" i="188"/>
  <c r="M8" i="188" s="1"/>
  <c r="W8" i="188"/>
  <c r="X8" i="188"/>
  <c r="G9" i="188"/>
  <c r="K9" i="188"/>
  <c r="M9" i="188"/>
  <c r="O9" i="188"/>
  <c r="U9" i="188"/>
  <c r="V9" i="188"/>
  <c r="AE9" i="188"/>
  <c r="G10" i="188"/>
  <c r="K10" i="188"/>
  <c r="O10" i="188"/>
  <c r="U10" i="188"/>
  <c r="V10" i="188"/>
  <c r="M10" i="188" s="1"/>
  <c r="G11" i="188"/>
  <c r="K11" i="188"/>
  <c r="O11" i="188"/>
  <c r="U11" i="188"/>
  <c r="V11" i="188"/>
  <c r="M11" i="188" s="1"/>
  <c r="N11" i="188" s="1"/>
  <c r="W11" i="188"/>
  <c r="X11" i="188"/>
  <c r="AE11" i="188"/>
  <c r="AF11" i="188"/>
  <c r="G12" i="188"/>
  <c r="K12" i="188"/>
  <c r="M12" i="188"/>
  <c r="N12" i="188"/>
  <c r="O12" i="188"/>
  <c r="P12" i="188"/>
  <c r="Q12" i="188"/>
  <c r="U12" i="188"/>
  <c r="V12" i="188"/>
  <c r="K13" i="188"/>
  <c r="O13" i="188"/>
  <c r="Y13" i="188"/>
  <c r="Z13" i="188"/>
  <c r="AD13" i="188"/>
  <c r="G14" i="188"/>
  <c r="K14" i="188"/>
  <c r="M14" i="188"/>
  <c r="N14" i="188"/>
  <c r="Q14" i="188" s="1"/>
  <c r="O14" i="188"/>
  <c r="P14" i="188"/>
  <c r="V14" i="188"/>
  <c r="W14" i="188"/>
  <c r="X14" i="188"/>
  <c r="AF14" i="188"/>
  <c r="G15" i="188"/>
  <c r="K15" i="188"/>
  <c r="M15" i="188"/>
  <c r="N15" i="188" s="1"/>
  <c r="O15" i="188"/>
  <c r="U15" i="188"/>
  <c r="V15" i="188"/>
  <c r="G16" i="188"/>
  <c r="K16" i="188"/>
  <c r="O16" i="188"/>
  <c r="U16" i="188"/>
  <c r="V16" i="188"/>
  <c r="M16" i="188" s="1"/>
  <c r="AF16" i="188" s="1"/>
  <c r="G17" i="188"/>
  <c r="K17" i="188"/>
  <c r="M17" i="188"/>
  <c r="AF17" i="188" s="1"/>
  <c r="O17" i="188"/>
  <c r="U17" i="188"/>
  <c r="V17" i="188"/>
  <c r="G18" i="188"/>
  <c r="K18" i="188"/>
  <c r="O18" i="188"/>
  <c r="U18" i="188"/>
  <c r="V18" i="188"/>
  <c r="M18" i="188" s="1"/>
  <c r="N18" i="188" s="1"/>
  <c r="Q18" i="188" s="1"/>
  <c r="AE18" i="188"/>
  <c r="AF18" i="188"/>
  <c r="G19" i="188"/>
  <c r="K19" i="188"/>
  <c r="M19" i="188"/>
  <c r="N19" i="188"/>
  <c r="P19" i="188" s="1"/>
  <c r="O19" i="188"/>
  <c r="Q19" i="188"/>
  <c r="U19" i="188"/>
  <c r="V19" i="188"/>
  <c r="G20" i="188"/>
  <c r="K20" i="188"/>
  <c r="N20" i="188"/>
  <c r="P20" i="188" s="1"/>
  <c r="O20" i="188"/>
  <c r="Q20" i="188"/>
  <c r="U20" i="188"/>
  <c r="V20" i="188"/>
  <c r="M20" i="188" s="1"/>
  <c r="W20" i="188"/>
  <c r="X20" i="188"/>
  <c r="AE20" i="188"/>
  <c r="AF20" i="188"/>
  <c r="G21" i="188"/>
  <c r="K21" i="188"/>
  <c r="M21" i="188"/>
  <c r="AE21" i="188" s="1"/>
  <c r="N21" i="188"/>
  <c r="O21" i="188"/>
  <c r="U21" i="188"/>
  <c r="V21" i="188"/>
  <c r="AF21" i="188"/>
  <c r="K22" i="188"/>
  <c r="O22" i="188"/>
  <c r="Y22" i="188"/>
  <c r="F18" i="187" s="1"/>
  <c r="Z22" i="188"/>
  <c r="F19" i="187" s="1"/>
  <c r="AD22" i="188"/>
  <c r="G23" i="188"/>
  <c r="K23" i="188"/>
  <c r="O23" i="188"/>
  <c r="V23" i="188"/>
  <c r="M23" i="188" s="1"/>
  <c r="G24" i="188"/>
  <c r="K24" i="188"/>
  <c r="M24" i="188"/>
  <c r="AF24" i="188" s="1"/>
  <c r="N24" i="188"/>
  <c r="P24" i="188" s="1"/>
  <c r="O24" i="188"/>
  <c r="U24" i="188"/>
  <c r="V24" i="188"/>
  <c r="G25" i="188"/>
  <c r="K25" i="188"/>
  <c r="O25" i="188"/>
  <c r="U25" i="188"/>
  <c r="V25" i="188"/>
  <c r="M25" i="188" s="1"/>
  <c r="N25" i="188" s="1"/>
  <c r="Q25" i="188" s="1"/>
  <c r="AE25" i="188"/>
  <c r="AF25" i="188"/>
  <c r="G26" i="188"/>
  <c r="K26" i="188"/>
  <c r="M26" i="188"/>
  <c r="N26" i="188"/>
  <c r="O26" i="188"/>
  <c r="P26" i="188"/>
  <c r="Q26" i="188"/>
  <c r="U26" i="188"/>
  <c r="V26" i="188"/>
  <c r="G27" i="188"/>
  <c r="K27" i="188"/>
  <c r="O27" i="188"/>
  <c r="U27" i="188"/>
  <c r="V27" i="188"/>
  <c r="M27" i="188" s="1"/>
  <c r="N27" i="188" s="1"/>
  <c r="AE27" i="188"/>
  <c r="AF27" i="188"/>
  <c r="G28" i="188"/>
  <c r="K28" i="188"/>
  <c r="M28" i="188"/>
  <c r="AE28" i="188" s="1"/>
  <c r="N28" i="188"/>
  <c r="Q28" i="188" s="1"/>
  <c r="O28" i="188"/>
  <c r="P28" i="188"/>
  <c r="U28" i="188"/>
  <c r="V28" i="188"/>
  <c r="W28" i="188"/>
  <c r="X28" i="188"/>
  <c r="G29" i="188"/>
  <c r="K29" i="188"/>
  <c r="O29" i="188"/>
  <c r="U29" i="188"/>
  <c r="V29" i="188"/>
  <c r="M29" i="188" s="1"/>
  <c r="K30" i="188"/>
  <c r="G13" i="187" s="1"/>
  <c r="O30" i="188"/>
  <c r="Y30" i="188"/>
  <c r="G18" i="187" s="1"/>
  <c r="Z30" i="188"/>
  <c r="AD30" i="188"/>
  <c r="G21" i="187" s="1"/>
  <c r="G31" i="188"/>
  <c r="K31" i="188"/>
  <c r="P31" i="188" s="1"/>
  <c r="M31" i="188"/>
  <c r="N31" i="188"/>
  <c r="O31" i="188"/>
  <c r="Q31" i="188"/>
  <c r="V31" i="188"/>
  <c r="W31" i="188"/>
  <c r="X31" i="188"/>
  <c r="G32" i="188"/>
  <c r="K32" i="188"/>
  <c r="O32" i="188"/>
  <c r="U32" i="188"/>
  <c r="V32" i="188"/>
  <c r="M32" i="188" s="1"/>
  <c r="N32" i="188" s="1"/>
  <c r="AF32" i="188"/>
  <c r="G33" i="188"/>
  <c r="K33" i="188"/>
  <c r="P33" i="188" s="1"/>
  <c r="M33" i="188"/>
  <c r="N33" i="188"/>
  <c r="O33" i="188"/>
  <c r="U33" i="188"/>
  <c r="V33" i="188"/>
  <c r="G34" i="188"/>
  <c r="K34" i="188"/>
  <c r="O34" i="188"/>
  <c r="U34" i="188"/>
  <c r="V34" i="188"/>
  <c r="M34" i="188" s="1"/>
  <c r="N34" i="188" s="1"/>
  <c r="Q34" i="188" s="1"/>
  <c r="AE34" i="188"/>
  <c r="AF34" i="188"/>
  <c r="G35" i="188"/>
  <c r="K35" i="188"/>
  <c r="M35" i="188"/>
  <c r="N35" i="188"/>
  <c r="O35" i="188"/>
  <c r="U35" i="188"/>
  <c r="V35" i="188"/>
  <c r="W35" i="188"/>
  <c r="X35" i="188"/>
  <c r="G36" i="188"/>
  <c r="K36" i="188"/>
  <c r="O36" i="188"/>
  <c r="U36" i="188"/>
  <c r="V36" i="188"/>
  <c r="M36" i="188" s="1"/>
  <c r="G37" i="188"/>
  <c r="K37" i="188"/>
  <c r="M37" i="188"/>
  <c r="N37" i="188"/>
  <c r="O37" i="188"/>
  <c r="P37" i="188"/>
  <c r="Q37" i="188"/>
  <c r="U37" i="188"/>
  <c r="V37" i="188"/>
  <c r="AE37" i="188"/>
  <c r="AF37" i="188"/>
  <c r="K38" i="188"/>
  <c r="O38" i="188"/>
  <c r="Y38" i="188"/>
  <c r="K18" i="187" s="1"/>
  <c r="Z38" i="188"/>
  <c r="K19" i="187" s="1"/>
  <c r="AD38" i="188"/>
  <c r="K21" i="187" s="1"/>
  <c r="G39" i="188"/>
  <c r="K39" i="188"/>
  <c r="O39" i="188"/>
  <c r="V39" i="188"/>
  <c r="M39" i="188" s="1"/>
  <c r="N39" i="188" s="1"/>
  <c r="W39" i="188"/>
  <c r="X39" i="188"/>
  <c r="G40" i="188"/>
  <c r="K40" i="188"/>
  <c r="M40" i="188"/>
  <c r="AE40" i="188" s="1"/>
  <c r="N40" i="188"/>
  <c r="O40" i="188"/>
  <c r="U40" i="188"/>
  <c r="V40" i="188"/>
  <c r="AF40" i="188"/>
  <c r="G41" i="188"/>
  <c r="K41" i="188"/>
  <c r="M41" i="188"/>
  <c r="AE41" i="188" s="1"/>
  <c r="O41" i="188"/>
  <c r="U41" i="188"/>
  <c r="V41" i="188"/>
  <c r="G42" i="188"/>
  <c r="K42" i="188"/>
  <c r="O42" i="188"/>
  <c r="U42" i="188"/>
  <c r="V42" i="188"/>
  <c r="M42" i="188" s="1"/>
  <c r="G43" i="188"/>
  <c r="K43" i="188"/>
  <c r="O43" i="188"/>
  <c r="U43" i="188"/>
  <c r="V43" i="188"/>
  <c r="M43" i="188" s="1"/>
  <c r="W43" i="188"/>
  <c r="X43" i="188"/>
  <c r="G44" i="188"/>
  <c r="K44" i="188"/>
  <c r="O44" i="188"/>
  <c r="U44" i="188"/>
  <c r="V44" i="188"/>
  <c r="M44" i="188" s="1"/>
  <c r="N44" i="188" s="1"/>
  <c r="AE44" i="188"/>
  <c r="G45" i="188"/>
  <c r="K45" i="188"/>
  <c r="M45" i="188"/>
  <c r="N45" i="188"/>
  <c r="O45" i="188"/>
  <c r="P45" i="188"/>
  <c r="Q45" i="188"/>
  <c r="U45" i="188"/>
  <c r="V45" i="188"/>
  <c r="G46" i="188"/>
  <c r="K46" i="188"/>
  <c r="M46" i="188"/>
  <c r="N46" i="188" s="1"/>
  <c r="P46" i="188" s="1"/>
  <c r="O46" i="188"/>
  <c r="U46" i="188"/>
  <c r="V46" i="188"/>
  <c r="K47" i="188"/>
  <c r="O47" i="188"/>
  <c r="Y47" i="188"/>
  <c r="Z47" i="188"/>
  <c r="AD47" i="188"/>
  <c r="G48" i="188"/>
  <c r="K48" i="188"/>
  <c r="N48" i="188"/>
  <c r="Q48" i="188" s="1"/>
  <c r="O48" i="188"/>
  <c r="P48" i="188"/>
  <c r="V48" i="188"/>
  <c r="M48" i="188" s="1"/>
  <c r="AE48" i="188" s="1"/>
  <c r="G49" i="188"/>
  <c r="K49" i="188"/>
  <c r="O49" i="188"/>
  <c r="U49" i="188"/>
  <c r="V49" i="188"/>
  <c r="M49" i="188" s="1"/>
  <c r="G50" i="188"/>
  <c r="K50" i="188"/>
  <c r="O50" i="188"/>
  <c r="U50" i="188"/>
  <c r="V50" i="188"/>
  <c r="M50" i="188" s="1"/>
  <c r="G51" i="188"/>
  <c r="K51" i="188"/>
  <c r="M51" i="188"/>
  <c r="N51" i="188"/>
  <c r="O51" i="188"/>
  <c r="P51" i="188"/>
  <c r="Q51" i="188"/>
  <c r="U51" i="188"/>
  <c r="V51" i="188"/>
  <c r="AE51" i="188"/>
  <c r="AF51" i="188"/>
  <c r="K52" i="188"/>
  <c r="H13" i="187" s="1"/>
  <c r="O52" i="188"/>
  <c r="Y52" i="188"/>
  <c r="H18" i="187" s="1"/>
  <c r="Z52" i="188"/>
  <c r="AD52" i="188"/>
  <c r="G53" i="188"/>
  <c r="K53" i="188"/>
  <c r="O53" i="188"/>
  <c r="V53" i="188"/>
  <c r="M53" i="188" s="1"/>
  <c r="N53" i="188" s="1"/>
  <c r="G54" i="188"/>
  <c r="K54" i="188"/>
  <c r="M54" i="188"/>
  <c r="N54" i="188"/>
  <c r="Q54" i="188" s="1"/>
  <c r="O54" i="188"/>
  <c r="P54" i="188"/>
  <c r="U54" i="188"/>
  <c r="V54" i="188"/>
  <c r="G55" i="188"/>
  <c r="K55" i="188"/>
  <c r="O55" i="188"/>
  <c r="U55" i="188"/>
  <c r="V55" i="188"/>
  <c r="M55" i="188" s="1"/>
  <c r="N55" i="188" s="1"/>
  <c r="P55" i="188" s="1"/>
  <c r="AE55" i="188"/>
  <c r="AF55" i="188"/>
  <c r="G56" i="188"/>
  <c r="K56" i="188"/>
  <c r="M56" i="188"/>
  <c r="AE56" i="188" s="1"/>
  <c r="N56" i="188"/>
  <c r="O56" i="188"/>
  <c r="U56" i="188"/>
  <c r="V56" i="188"/>
  <c r="AF56" i="188"/>
  <c r="G57" i="188"/>
  <c r="K57" i="188"/>
  <c r="M57" i="188"/>
  <c r="AF57" i="188" s="1"/>
  <c r="N57" i="188"/>
  <c r="P57" i="188" s="1"/>
  <c r="O57" i="188"/>
  <c r="U57" i="188"/>
  <c r="V57" i="188"/>
  <c r="G58" i="188"/>
  <c r="K58" i="188"/>
  <c r="O58" i="188"/>
  <c r="U58" i="188"/>
  <c r="V58" i="188"/>
  <c r="M58" i="188" s="1"/>
  <c r="G59" i="188"/>
  <c r="K59" i="188"/>
  <c r="O59" i="188"/>
  <c r="U59" i="188"/>
  <c r="V59" i="188"/>
  <c r="M59" i="188" s="1"/>
  <c r="G60" i="188"/>
  <c r="K60" i="188"/>
  <c r="M60" i="188"/>
  <c r="N60" i="188"/>
  <c r="O60" i="188"/>
  <c r="P60" i="188"/>
  <c r="Q60" i="188"/>
  <c r="U60" i="188"/>
  <c r="V60" i="188"/>
  <c r="AE60" i="188"/>
  <c r="AF60" i="188"/>
  <c r="K61" i="188"/>
  <c r="I13" i="187" s="1"/>
  <c r="O61" i="188"/>
  <c r="Y61" i="188"/>
  <c r="I18" i="187" s="1"/>
  <c r="Z61" i="188"/>
  <c r="I19" i="187" s="1"/>
  <c r="AD61" i="188"/>
  <c r="G62" i="188"/>
  <c r="K62" i="188"/>
  <c r="O62" i="188"/>
  <c r="V62" i="188"/>
  <c r="M62" i="188" s="1"/>
  <c r="AE62" i="188" s="1"/>
  <c r="G63" i="188"/>
  <c r="K63" i="188"/>
  <c r="M63" i="188"/>
  <c r="N63" i="188"/>
  <c r="Q63" i="188" s="1"/>
  <c r="O63" i="188"/>
  <c r="P63" i="188"/>
  <c r="U63" i="188"/>
  <c r="V63" i="188"/>
  <c r="G64" i="188"/>
  <c r="K64" i="188"/>
  <c r="O64" i="188"/>
  <c r="U64" i="188"/>
  <c r="V64" i="188"/>
  <c r="M64" i="188" s="1"/>
  <c r="N64" i="188" s="1"/>
  <c r="P64" i="188" s="1"/>
  <c r="AE64" i="188"/>
  <c r="AF64" i="188"/>
  <c r="G65" i="188"/>
  <c r="K65" i="188"/>
  <c r="M65" i="188"/>
  <c r="AE65" i="188" s="1"/>
  <c r="N65" i="188"/>
  <c r="O65" i="188"/>
  <c r="U65" i="188"/>
  <c r="V65" i="188"/>
  <c r="AF65" i="188"/>
  <c r="K66" i="188"/>
  <c r="O66" i="188"/>
  <c r="Y66" i="188"/>
  <c r="J18" i="187" s="1"/>
  <c r="Z66" i="188"/>
  <c r="AD66" i="188"/>
  <c r="G67" i="188"/>
  <c r="K67" i="188"/>
  <c r="O67" i="188"/>
  <c r="V67" i="188"/>
  <c r="M67" i="188" s="1"/>
  <c r="W67" i="188"/>
  <c r="X67" i="188"/>
  <c r="AE67" i="188"/>
  <c r="AF67" i="188"/>
  <c r="G68" i="188"/>
  <c r="K68" i="188"/>
  <c r="M68" i="188"/>
  <c r="N68" i="188" s="1"/>
  <c r="O68" i="188"/>
  <c r="U68" i="188"/>
  <c r="V68" i="188"/>
  <c r="G69" i="188"/>
  <c r="K69" i="188"/>
  <c r="O69" i="188"/>
  <c r="U69" i="188"/>
  <c r="V69" i="188"/>
  <c r="M69" i="188" s="1"/>
  <c r="G70" i="188"/>
  <c r="K70" i="188"/>
  <c r="M70" i="188"/>
  <c r="N70" i="188"/>
  <c r="Q70" i="188" s="1"/>
  <c r="O70" i="188"/>
  <c r="P70" i="188"/>
  <c r="U70" i="188"/>
  <c r="V70" i="188"/>
  <c r="G71" i="188"/>
  <c r="K71" i="188"/>
  <c r="O71" i="188"/>
  <c r="P71" i="188"/>
  <c r="Q71" i="188"/>
  <c r="U71" i="188"/>
  <c r="V71" i="188"/>
  <c r="M71" i="188" s="1"/>
  <c r="N71" i="188" s="1"/>
  <c r="W71" i="188"/>
  <c r="X71" i="188"/>
  <c r="AE71" i="188"/>
  <c r="AF71" i="188"/>
  <c r="G72" i="188"/>
  <c r="K72" i="188"/>
  <c r="O72" i="188"/>
  <c r="U72" i="188"/>
  <c r="V72" i="188"/>
  <c r="M72" i="188" s="1"/>
  <c r="G73" i="188"/>
  <c r="K73" i="188"/>
  <c r="M73" i="188"/>
  <c r="N73" i="188" s="1"/>
  <c r="O73" i="188"/>
  <c r="U73" i="188"/>
  <c r="V73" i="188"/>
  <c r="K74" i="188"/>
  <c r="O74" i="188"/>
  <c r="Y74" i="188"/>
  <c r="M18" i="187" s="1"/>
  <c r="Z74" i="188"/>
  <c r="AD74" i="188"/>
  <c r="C3" i="187"/>
  <c r="F3" i="187"/>
  <c r="M6" i="187"/>
  <c r="D13" i="187"/>
  <c r="E13" i="187"/>
  <c r="F13" i="187"/>
  <c r="J13" i="187"/>
  <c r="K13" i="187"/>
  <c r="L13" i="187"/>
  <c r="M13" i="187"/>
  <c r="D16" i="187"/>
  <c r="E16" i="187"/>
  <c r="F16" i="187"/>
  <c r="G16" i="187"/>
  <c r="H16" i="187"/>
  <c r="I16" i="187"/>
  <c r="J16" i="187"/>
  <c r="K16" i="187"/>
  <c r="L16" i="187"/>
  <c r="M16" i="187"/>
  <c r="D17" i="187"/>
  <c r="E17" i="187"/>
  <c r="F17" i="187"/>
  <c r="G17" i="187"/>
  <c r="H17" i="187"/>
  <c r="I17" i="187"/>
  <c r="J17" i="187"/>
  <c r="K17" i="187"/>
  <c r="L17" i="187"/>
  <c r="M17" i="187"/>
  <c r="D18" i="187"/>
  <c r="E18" i="187"/>
  <c r="L18" i="187"/>
  <c r="E19" i="187"/>
  <c r="G19" i="187"/>
  <c r="H19" i="187"/>
  <c r="J19" i="187"/>
  <c r="L19" i="187"/>
  <c r="M19" i="187"/>
  <c r="D20" i="187"/>
  <c r="E20" i="187"/>
  <c r="F20" i="187"/>
  <c r="G20" i="187"/>
  <c r="H20" i="187"/>
  <c r="I20" i="187"/>
  <c r="J20" i="187"/>
  <c r="K20" i="187"/>
  <c r="L20" i="187"/>
  <c r="M20" i="187"/>
  <c r="D21" i="187"/>
  <c r="E21" i="187"/>
  <c r="F21" i="187"/>
  <c r="H21" i="187"/>
  <c r="I21" i="187"/>
  <c r="J21" i="187"/>
  <c r="L21" i="187"/>
  <c r="M21" i="187"/>
  <c r="D22" i="187"/>
  <c r="E22" i="187"/>
  <c r="F22" i="187"/>
  <c r="G22" i="187"/>
  <c r="H22" i="187"/>
  <c r="I22" i="187"/>
  <c r="J22" i="187"/>
  <c r="K22" i="187"/>
  <c r="L22" i="187"/>
  <c r="M22" i="187"/>
  <c r="F8" i="195" l="1"/>
  <c r="E8" i="195"/>
  <c r="G8" i="195"/>
  <c r="I8" i="193"/>
  <c r="E7" i="193"/>
  <c r="F7" i="193"/>
  <c r="G7" i="193"/>
  <c r="I7" i="193"/>
  <c r="G8" i="193"/>
  <c r="F8" i="193"/>
  <c r="E8" i="193"/>
  <c r="Q49" i="192"/>
  <c r="R45" i="192" s="1"/>
  <c r="P49" i="192"/>
  <c r="H14" i="191"/>
  <c r="H15" i="191" s="1"/>
  <c r="Q28" i="192"/>
  <c r="R22" i="192" s="1"/>
  <c r="P28" i="192"/>
  <c r="G14" i="191"/>
  <c r="G15" i="191" s="1"/>
  <c r="Q71" i="192"/>
  <c r="R64" i="192" s="1"/>
  <c r="P71" i="192"/>
  <c r="M14" i="191"/>
  <c r="M15" i="191" s="1"/>
  <c r="P44" i="192"/>
  <c r="Q44" i="192"/>
  <c r="R37" i="192" s="1"/>
  <c r="L14" i="191"/>
  <c r="L15" i="191" s="1"/>
  <c r="Q13" i="192"/>
  <c r="R8" i="192" s="1"/>
  <c r="P13" i="192"/>
  <c r="E14" i="191"/>
  <c r="E15" i="191" s="1"/>
  <c r="D2" i="192"/>
  <c r="Q7" i="192"/>
  <c r="R5" i="192" s="1"/>
  <c r="P7" i="192"/>
  <c r="D14" i="191"/>
  <c r="P21" i="192"/>
  <c r="F14" i="191"/>
  <c r="F15" i="191" s="1"/>
  <c r="Q21" i="192"/>
  <c r="R14" i="192" s="1"/>
  <c r="K15" i="191"/>
  <c r="Q63" i="192"/>
  <c r="R59" i="192" s="1"/>
  <c r="P63" i="192"/>
  <c r="J14" i="191"/>
  <c r="J15" i="191" s="1"/>
  <c r="Q60" i="190"/>
  <c r="P60" i="190"/>
  <c r="Q48" i="190"/>
  <c r="P48" i="190"/>
  <c r="AF61" i="190"/>
  <c r="AG53" i="190" s="1"/>
  <c r="AE61" i="190"/>
  <c r="N61" i="190"/>
  <c r="Q45" i="190"/>
  <c r="P45" i="190"/>
  <c r="Q35" i="190"/>
  <c r="P35" i="190"/>
  <c r="AF30" i="190"/>
  <c r="AG23" i="190" s="1"/>
  <c r="AE30" i="190"/>
  <c r="N30" i="190"/>
  <c r="P34" i="190"/>
  <c r="Q34" i="190"/>
  <c r="Q37" i="190"/>
  <c r="P37" i="190"/>
  <c r="Q73" i="190"/>
  <c r="P73" i="190"/>
  <c r="AF38" i="190"/>
  <c r="AG31" i="190" s="1"/>
  <c r="AE38" i="190"/>
  <c r="N38" i="190"/>
  <c r="N22" i="190"/>
  <c r="AF22" i="190"/>
  <c r="AG14" i="190" s="1"/>
  <c r="AE22" i="190"/>
  <c r="P16" i="190"/>
  <c r="Q16" i="190"/>
  <c r="P55" i="190"/>
  <c r="Q55" i="190"/>
  <c r="AF74" i="190"/>
  <c r="AG67" i="190" s="1"/>
  <c r="AE74" i="190"/>
  <c r="N74" i="190"/>
  <c r="Q58" i="190"/>
  <c r="P58" i="190"/>
  <c r="Q65" i="190"/>
  <c r="P65" i="190"/>
  <c r="AF13" i="190"/>
  <c r="AG8" i="190" s="1"/>
  <c r="AE13" i="190"/>
  <c r="N13" i="190"/>
  <c r="Q21" i="190"/>
  <c r="P21" i="190"/>
  <c r="Q72" i="190"/>
  <c r="P72" i="190"/>
  <c r="Q10" i="190"/>
  <c r="P10" i="190"/>
  <c r="Q51" i="190"/>
  <c r="P51" i="190"/>
  <c r="P36" i="190"/>
  <c r="Q36" i="190"/>
  <c r="Q31" i="190"/>
  <c r="P31" i="190"/>
  <c r="AE47" i="190"/>
  <c r="N47" i="190"/>
  <c r="AF47" i="190"/>
  <c r="AG39" i="190" s="1"/>
  <c r="P68" i="190"/>
  <c r="Q68" i="190"/>
  <c r="P26" i="190"/>
  <c r="Q26" i="190"/>
  <c r="Q17" i="190"/>
  <c r="P17" i="190"/>
  <c r="Q15" i="190"/>
  <c r="P15" i="190"/>
  <c r="Q46" i="190"/>
  <c r="P46" i="190"/>
  <c r="Q24" i="190"/>
  <c r="P24" i="190"/>
  <c r="Q19" i="190"/>
  <c r="P19" i="190"/>
  <c r="P43" i="190"/>
  <c r="Q43" i="190"/>
  <c r="Q29" i="190"/>
  <c r="P29" i="190"/>
  <c r="Q9" i="190"/>
  <c r="P9" i="190"/>
  <c r="Q67" i="190"/>
  <c r="P67" i="190"/>
  <c r="Q49" i="190"/>
  <c r="P49" i="190"/>
  <c r="P71" i="190"/>
  <c r="Q71" i="190"/>
  <c r="P25" i="190"/>
  <c r="Q25" i="190"/>
  <c r="Q41" i="190"/>
  <c r="P41" i="190"/>
  <c r="P6" i="190"/>
  <c r="Q6" i="190"/>
  <c r="Q56" i="190"/>
  <c r="P56" i="190"/>
  <c r="P64" i="190"/>
  <c r="Q64" i="190"/>
  <c r="P11" i="190"/>
  <c r="Q11" i="190"/>
  <c r="P59" i="190"/>
  <c r="Q59" i="190"/>
  <c r="Q57" i="190"/>
  <c r="P57" i="190"/>
  <c r="P5" i="190"/>
  <c r="Q5" i="190"/>
  <c r="Q12" i="190"/>
  <c r="P12" i="190"/>
  <c r="P18" i="190"/>
  <c r="Q18" i="190"/>
  <c r="Q42" i="190"/>
  <c r="P42" i="190"/>
  <c r="Q40" i="190"/>
  <c r="P40" i="190"/>
  <c r="P50" i="190"/>
  <c r="Q50" i="190"/>
  <c r="AF52" i="190"/>
  <c r="AG48" i="190" s="1"/>
  <c r="AE52" i="190"/>
  <c r="N52" i="190"/>
  <c r="N66" i="190"/>
  <c r="AF66" i="190"/>
  <c r="AG62" i="190" s="1"/>
  <c r="AE66" i="190"/>
  <c r="AF7" i="190"/>
  <c r="AG5" i="190" s="1"/>
  <c r="AE7" i="190"/>
  <c r="N7" i="190"/>
  <c r="P27" i="188"/>
  <c r="Q27" i="188"/>
  <c r="AF29" i="188"/>
  <c r="N29" i="188"/>
  <c r="AE29" i="188"/>
  <c r="AE50" i="188"/>
  <c r="AF50" i="188"/>
  <c r="N50" i="188"/>
  <c r="M52" i="188"/>
  <c r="P15" i="188"/>
  <c r="Q15" i="188"/>
  <c r="Q68" i="188"/>
  <c r="P68" i="188"/>
  <c r="AF69" i="188"/>
  <c r="N69" i="188"/>
  <c r="AE69" i="188"/>
  <c r="AE10" i="188"/>
  <c r="AF10" i="188"/>
  <c r="N10" i="188"/>
  <c r="P32" i="188"/>
  <c r="Q32" i="188"/>
  <c r="AE59" i="188"/>
  <c r="AF59" i="188"/>
  <c r="N59" i="188"/>
  <c r="AE43" i="188"/>
  <c r="AF43" i="188"/>
  <c r="N43" i="188"/>
  <c r="P73" i="188"/>
  <c r="Q73" i="188"/>
  <c r="AF5" i="188"/>
  <c r="M7" i="188"/>
  <c r="N5" i="188"/>
  <c r="AE5" i="188"/>
  <c r="AF36" i="188"/>
  <c r="AE36" i="188"/>
  <c r="N36" i="188"/>
  <c r="N41" i="188"/>
  <c r="AE32" i="188"/>
  <c r="N17" i="188"/>
  <c r="N23" i="188"/>
  <c r="AE23" i="188"/>
  <c r="AF23" i="188"/>
  <c r="AE12" i="188"/>
  <c r="AF12" i="188"/>
  <c r="P65" i="188"/>
  <c r="Q65" i="188"/>
  <c r="N58" i="188"/>
  <c r="AE58" i="188"/>
  <c r="AF58" i="188"/>
  <c r="P56" i="188"/>
  <c r="Q56" i="188"/>
  <c r="N49" i="188"/>
  <c r="AE49" i="188"/>
  <c r="AF49" i="188"/>
  <c r="AE45" i="188"/>
  <c r="AF45" i="188"/>
  <c r="P34" i="188"/>
  <c r="Z2" i="188"/>
  <c r="L6" i="187" s="1"/>
  <c r="D19" i="187"/>
  <c r="Q40" i="188"/>
  <c r="P40" i="188"/>
  <c r="AE14" i="188"/>
  <c r="M22" i="188"/>
  <c r="N67" i="188"/>
  <c r="M74" i="188"/>
  <c r="AF62" i="188"/>
  <c r="AF53" i="188"/>
  <c r="M47" i="188"/>
  <c r="M38" i="188"/>
  <c r="P25" i="188"/>
  <c r="I6" i="187"/>
  <c r="AF73" i="188"/>
  <c r="AE53" i="188"/>
  <c r="AF44" i="188"/>
  <c r="P18" i="188"/>
  <c r="AF15" i="188"/>
  <c r="Q35" i="188"/>
  <c r="P35" i="188"/>
  <c r="AE35" i="188"/>
  <c r="AF35" i="188"/>
  <c r="M13" i="188"/>
  <c r="AE57" i="188"/>
  <c r="AF48" i="188"/>
  <c r="AF41" i="188"/>
  <c r="AF39" i="188"/>
  <c r="AE24" i="188"/>
  <c r="AD2" i="188"/>
  <c r="N6" i="187" s="1"/>
  <c r="F1" i="188"/>
  <c r="M61" i="188"/>
  <c r="N8" i="188"/>
  <c r="AE73" i="188"/>
  <c r="E6" i="187"/>
  <c r="AE39" i="188"/>
  <c r="AE17" i="188"/>
  <c r="N72" i="188"/>
  <c r="AE72" i="188"/>
  <c r="AF72" i="188"/>
  <c r="AE68" i="188"/>
  <c r="AF68" i="188"/>
  <c r="AE70" i="188"/>
  <c r="AF70" i="188"/>
  <c r="AE26" i="188"/>
  <c r="AF26" i="188"/>
  <c r="P21" i="188"/>
  <c r="Q21" i="188"/>
  <c r="M30" i="188"/>
  <c r="AE19" i="188"/>
  <c r="AF19" i="188"/>
  <c r="AE63" i="188"/>
  <c r="AF63" i="188"/>
  <c r="N42" i="188"/>
  <c r="AE42" i="188"/>
  <c r="AF42" i="188"/>
  <c r="N62" i="188"/>
  <c r="M66" i="188"/>
  <c r="P53" i="188"/>
  <c r="Q53" i="188"/>
  <c r="AF46" i="188"/>
  <c r="AE15" i="188"/>
  <c r="P11" i="188"/>
  <c r="Q11" i="188"/>
  <c r="N9" i="188"/>
  <c r="AF9" i="188"/>
  <c r="Q64" i="188"/>
  <c r="Q55" i="188"/>
  <c r="Q46" i="188"/>
  <c r="Q33" i="188"/>
  <c r="AF8" i="188"/>
  <c r="AF6" i="188"/>
  <c r="AE46" i="188"/>
  <c r="P44" i="188"/>
  <c r="Q44" i="188"/>
  <c r="Q57" i="188"/>
  <c r="AE33" i="188"/>
  <c r="AF33" i="188"/>
  <c r="AE31" i="188"/>
  <c r="AF31" i="188"/>
  <c r="AF28" i="188"/>
  <c r="Q24" i="188"/>
  <c r="AE8" i="188"/>
  <c r="AE6" i="188"/>
  <c r="AF54" i="188"/>
  <c r="AE54" i="188"/>
  <c r="N16" i="188"/>
  <c r="AE16" i="188"/>
  <c r="P39" i="188"/>
  <c r="Q39" i="188"/>
  <c r="G6" i="187"/>
  <c r="F6" i="187"/>
  <c r="AD78" i="186"/>
  <c r="M21" i="185" s="1"/>
  <c r="Z78" i="186"/>
  <c r="M19" i="185" s="1"/>
  <c r="Y78" i="186"/>
  <c r="O78" i="186"/>
  <c r="M78" i="186"/>
  <c r="N78" i="186" s="1"/>
  <c r="M14" i="185" s="1"/>
  <c r="M15" i="185" s="1"/>
  <c r="K78" i="186"/>
  <c r="M13" i="185" s="1"/>
  <c r="AF77" i="186"/>
  <c r="AE77" i="186"/>
  <c r="V77" i="186"/>
  <c r="U77" i="186"/>
  <c r="O77" i="186"/>
  <c r="N77" i="186"/>
  <c r="P77" i="186" s="1"/>
  <c r="M77" i="186"/>
  <c r="K77" i="186"/>
  <c r="G77" i="186"/>
  <c r="V76" i="186"/>
  <c r="U76" i="186"/>
  <c r="P76" i="186"/>
  <c r="O76" i="186"/>
  <c r="N76" i="186"/>
  <c r="Q76" i="186" s="1"/>
  <c r="M76" i="186"/>
  <c r="K76" i="186"/>
  <c r="G76" i="186"/>
  <c r="AF75" i="186"/>
  <c r="AE75" i="186"/>
  <c r="V75" i="186"/>
  <c r="M75" i="186" s="1"/>
  <c r="N75" i="186" s="1"/>
  <c r="U75" i="186"/>
  <c r="Q75" i="186"/>
  <c r="P75" i="186"/>
  <c r="O75" i="186"/>
  <c r="K75" i="186"/>
  <c r="G75" i="186"/>
  <c r="X74" i="186"/>
  <c r="W74" i="186"/>
  <c r="V74" i="186"/>
  <c r="U74" i="186"/>
  <c r="O74" i="186"/>
  <c r="M74" i="186"/>
  <c r="N74" i="186" s="1"/>
  <c r="K74" i="186"/>
  <c r="G74" i="186"/>
  <c r="AF73" i="186"/>
  <c r="AE73" i="186"/>
  <c r="V73" i="186"/>
  <c r="M73" i="186" s="1"/>
  <c r="N73" i="186" s="1"/>
  <c r="U73" i="186"/>
  <c r="O73" i="186"/>
  <c r="K73" i="186"/>
  <c r="G73" i="186"/>
  <c r="AF72" i="186"/>
  <c r="AE72" i="186"/>
  <c r="V72" i="186"/>
  <c r="U72" i="186"/>
  <c r="Q72" i="186"/>
  <c r="P72" i="186"/>
  <c r="O72" i="186"/>
  <c r="N72" i="186"/>
  <c r="M72" i="186"/>
  <c r="K72" i="186"/>
  <c r="G72" i="186"/>
  <c r="AF71" i="186"/>
  <c r="V71" i="186"/>
  <c r="U71" i="186"/>
  <c r="O71" i="186"/>
  <c r="M71" i="186"/>
  <c r="K71" i="186"/>
  <c r="G71" i="186"/>
  <c r="AF70" i="186"/>
  <c r="AE70" i="186"/>
  <c r="X70" i="186"/>
  <c r="W70" i="186"/>
  <c r="V70" i="186"/>
  <c r="M70" i="186" s="1"/>
  <c r="N70" i="186" s="1"/>
  <c r="Q70" i="186"/>
  <c r="P70" i="186"/>
  <c r="O70" i="186"/>
  <c r="K70" i="186"/>
  <c r="G70" i="186"/>
  <c r="AD69" i="186"/>
  <c r="Z69" i="186"/>
  <c r="Y69" i="186"/>
  <c r="O69" i="186"/>
  <c r="M69" i="186"/>
  <c r="N69" i="186" s="1"/>
  <c r="K69" i="186"/>
  <c r="AF68" i="186"/>
  <c r="AE68" i="186"/>
  <c r="V68" i="186"/>
  <c r="M68" i="186" s="1"/>
  <c r="N68" i="186" s="1"/>
  <c r="P68" i="186" s="1"/>
  <c r="U68" i="186"/>
  <c r="Q68" i="186"/>
  <c r="O68" i="186"/>
  <c r="K68" i="186"/>
  <c r="G68" i="186"/>
  <c r="V67" i="186"/>
  <c r="U67" i="186"/>
  <c r="O67" i="186"/>
  <c r="M67" i="186"/>
  <c r="AF67" i="186" s="1"/>
  <c r="K67" i="186"/>
  <c r="G67" i="186"/>
  <c r="AF66" i="186"/>
  <c r="AE66" i="186"/>
  <c r="V66" i="186"/>
  <c r="M66" i="186" s="1"/>
  <c r="N66" i="186" s="1"/>
  <c r="U66" i="186"/>
  <c r="O66" i="186"/>
  <c r="K66" i="186"/>
  <c r="G66" i="186"/>
  <c r="AF65" i="186"/>
  <c r="AE65" i="186"/>
  <c r="V65" i="186"/>
  <c r="O65" i="186"/>
  <c r="N65" i="186"/>
  <c r="Q65" i="186" s="1"/>
  <c r="M65" i="186"/>
  <c r="K65" i="186"/>
  <c r="G65" i="186"/>
  <c r="AD64" i="186"/>
  <c r="Z64" i="186"/>
  <c r="Y64" i="186"/>
  <c r="O64" i="186"/>
  <c r="M64" i="186"/>
  <c r="N64" i="186" s="1"/>
  <c r="I14" i="185" s="1"/>
  <c r="I15" i="185" s="1"/>
  <c r="K64" i="186"/>
  <c r="AF63" i="186"/>
  <c r="AE63" i="186"/>
  <c r="V63" i="186"/>
  <c r="U63" i="186"/>
  <c r="O63" i="186"/>
  <c r="M63" i="186"/>
  <c r="N63" i="186" s="1"/>
  <c r="K63" i="186"/>
  <c r="G63" i="186"/>
  <c r="V62" i="186"/>
  <c r="U62" i="186"/>
  <c r="O62" i="186"/>
  <c r="N62" i="186"/>
  <c r="Q62" i="186" s="1"/>
  <c r="M62" i="186"/>
  <c r="K62" i="186"/>
  <c r="G62" i="186"/>
  <c r="AF61" i="186"/>
  <c r="AE61" i="186"/>
  <c r="V61" i="186"/>
  <c r="M61" i="186" s="1"/>
  <c r="N61" i="186" s="1"/>
  <c r="U61" i="186"/>
  <c r="Q61" i="186"/>
  <c r="P61" i="186"/>
  <c r="O61" i="186"/>
  <c r="K61" i="186"/>
  <c r="G61" i="186"/>
  <c r="V60" i="186"/>
  <c r="U60" i="186"/>
  <c r="O60" i="186"/>
  <c r="N60" i="186"/>
  <c r="P60" i="186" s="1"/>
  <c r="M60" i="186"/>
  <c r="K60" i="186"/>
  <c r="G60" i="186"/>
  <c r="AF59" i="186"/>
  <c r="AE59" i="186"/>
  <c r="V59" i="186"/>
  <c r="M59" i="186" s="1"/>
  <c r="N59" i="186" s="1"/>
  <c r="P59" i="186" s="1"/>
  <c r="U59" i="186"/>
  <c r="Q59" i="186"/>
  <c r="O59" i="186"/>
  <c r="K59" i="186"/>
  <c r="G59" i="186"/>
  <c r="AE58" i="186"/>
  <c r="V58" i="186"/>
  <c r="U58" i="186"/>
  <c r="O58" i="186"/>
  <c r="N58" i="186"/>
  <c r="P58" i="186" s="1"/>
  <c r="M58" i="186"/>
  <c r="AF58" i="186" s="1"/>
  <c r="K58" i="186"/>
  <c r="G58" i="186"/>
  <c r="AF57" i="186"/>
  <c r="AE57" i="186"/>
  <c r="V57" i="186"/>
  <c r="M57" i="186" s="1"/>
  <c r="N57" i="186" s="1"/>
  <c r="U57" i="186"/>
  <c r="O57" i="186"/>
  <c r="K57" i="186"/>
  <c r="G57" i="186"/>
  <c r="AF56" i="186"/>
  <c r="V56" i="186"/>
  <c r="O56" i="186"/>
  <c r="M56" i="186"/>
  <c r="AE56" i="186" s="1"/>
  <c r="K56" i="186"/>
  <c r="G56" i="186"/>
  <c r="AD55" i="186"/>
  <c r="Z55" i="186"/>
  <c r="Y55" i="186"/>
  <c r="H18" i="185" s="1"/>
  <c r="O55" i="186"/>
  <c r="M55" i="186"/>
  <c r="N55" i="186" s="1"/>
  <c r="K55" i="186"/>
  <c r="AF54" i="186"/>
  <c r="AE54" i="186"/>
  <c r="V54" i="186"/>
  <c r="U54" i="186"/>
  <c r="O54" i="186"/>
  <c r="M54" i="186"/>
  <c r="N54" i="186" s="1"/>
  <c r="K54" i="186"/>
  <c r="G54" i="186"/>
  <c r="V53" i="186"/>
  <c r="U53" i="186"/>
  <c r="O53" i="186"/>
  <c r="N53" i="186"/>
  <c r="Q53" i="186" s="1"/>
  <c r="M53" i="186"/>
  <c r="K53" i="186"/>
  <c r="G53" i="186"/>
  <c r="AF52" i="186"/>
  <c r="AE52" i="186"/>
  <c r="V52" i="186"/>
  <c r="M52" i="186" s="1"/>
  <c r="N52" i="186" s="1"/>
  <c r="U52" i="186"/>
  <c r="Q52" i="186"/>
  <c r="P52" i="186"/>
  <c r="O52" i="186"/>
  <c r="K52" i="186"/>
  <c r="G52" i="186"/>
  <c r="V51" i="186"/>
  <c r="O51" i="186"/>
  <c r="N51" i="186"/>
  <c r="Q51" i="186" s="1"/>
  <c r="M51" i="186"/>
  <c r="K51" i="186"/>
  <c r="G51" i="186"/>
  <c r="AD50" i="186"/>
  <c r="L21" i="185" s="1"/>
  <c r="Z50" i="186"/>
  <c r="L19" i="185" s="1"/>
  <c r="Y50" i="186"/>
  <c r="O50" i="186"/>
  <c r="K50" i="186"/>
  <c r="AF49" i="186"/>
  <c r="AE49" i="186"/>
  <c r="V49" i="186"/>
  <c r="U49" i="186"/>
  <c r="O49" i="186"/>
  <c r="N49" i="186"/>
  <c r="Q49" i="186" s="1"/>
  <c r="M49" i="186"/>
  <c r="K49" i="186"/>
  <c r="G49" i="186"/>
  <c r="AF48" i="186"/>
  <c r="AE48" i="186"/>
  <c r="V48" i="186"/>
  <c r="M48" i="186" s="1"/>
  <c r="N48" i="186" s="1"/>
  <c r="U48" i="186"/>
  <c r="O48" i="186"/>
  <c r="K48" i="186"/>
  <c r="G48" i="186"/>
  <c r="AF47" i="186"/>
  <c r="V47" i="186"/>
  <c r="U47" i="186"/>
  <c r="O47" i="186"/>
  <c r="M47" i="186"/>
  <c r="AE47" i="186" s="1"/>
  <c r="K47" i="186"/>
  <c r="G47" i="186"/>
  <c r="X46" i="186"/>
  <c r="W46" i="186"/>
  <c r="V46" i="186"/>
  <c r="U46" i="186"/>
  <c r="O46" i="186"/>
  <c r="N46" i="186"/>
  <c r="Q46" i="186" s="1"/>
  <c r="M46" i="186"/>
  <c r="K46" i="186"/>
  <c r="G46" i="186"/>
  <c r="AF45" i="186"/>
  <c r="AE45" i="186"/>
  <c r="V45" i="186"/>
  <c r="M45" i="186" s="1"/>
  <c r="N45" i="186" s="1"/>
  <c r="U45" i="186"/>
  <c r="Q45" i="186"/>
  <c r="P45" i="186"/>
  <c r="O45" i="186"/>
  <c r="K45" i="186"/>
  <c r="G45" i="186"/>
  <c r="V44" i="186"/>
  <c r="U44" i="186"/>
  <c r="O44" i="186"/>
  <c r="N44" i="186"/>
  <c r="P44" i="186" s="1"/>
  <c r="M44" i="186"/>
  <c r="K44" i="186"/>
  <c r="G44" i="186"/>
  <c r="AF43" i="186"/>
  <c r="AE43" i="186"/>
  <c r="V43" i="186"/>
  <c r="M43" i="186" s="1"/>
  <c r="N43" i="186" s="1"/>
  <c r="P43" i="186" s="1"/>
  <c r="U43" i="186"/>
  <c r="Q43" i="186"/>
  <c r="O43" i="186"/>
  <c r="K43" i="186"/>
  <c r="G43" i="186"/>
  <c r="AF42" i="186"/>
  <c r="AE42" i="186"/>
  <c r="X42" i="186"/>
  <c r="W42" i="186"/>
  <c r="V42" i="186"/>
  <c r="O42" i="186"/>
  <c r="N42" i="186"/>
  <c r="Q42" i="186" s="1"/>
  <c r="M42" i="186"/>
  <c r="M50" i="186" s="1"/>
  <c r="N50" i="186" s="1"/>
  <c r="K42" i="186"/>
  <c r="G42" i="186"/>
  <c r="AD41" i="186"/>
  <c r="Z41" i="186"/>
  <c r="Y41" i="186"/>
  <c r="O41" i="186"/>
  <c r="M41" i="186"/>
  <c r="N41" i="186" s="1"/>
  <c r="K14" i="185" s="1"/>
  <c r="K41" i="186"/>
  <c r="AF40" i="186"/>
  <c r="AE40" i="186"/>
  <c r="V40" i="186"/>
  <c r="U40" i="186"/>
  <c r="O40" i="186"/>
  <c r="N40" i="186"/>
  <c r="Q40" i="186" s="1"/>
  <c r="M40" i="186"/>
  <c r="K40" i="186"/>
  <c r="G40" i="186"/>
  <c r="V39" i="186"/>
  <c r="U39" i="186"/>
  <c r="P39" i="186"/>
  <c r="O39" i="186"/>
  <c r="N39" i="186"/>
  <c r="Q39" i="186" s="1"/>
  <c r="M39" i="186"/>
  <c r="K39" i="186"/>
  <c r="G39" i="186"/>
  <c r="AF38" i="186"/>
  <c r="AE38" i="186"/>
  <c r="V38" i="186"/>
  <c r="M38" i="186" s="1"/>
  <c r="N38" i="186" s="1"/>
  <c r="U38" i="186"/>
  <c r="Q38" i="186"/>
  <c r="P38" i="186"/>
  <c r="O38" i="186"/>
  <c r="K38" i="186"/>
  <c r="G38" i="186"/>
  <c r="X37" i="186"/>
  <c r="W37" i="186"/>
  <c r="V37" i="186"/>
  <c r="U37" i="186"/>
  <c r="O37" i="186"/>
  <c r="M37" i="186"/>
  <c r="N37" i="186" s="1"/>
  <c r="K37" i="186"/>
  <c r="G37" i="186"/>
  <c r="AF36" i="186"/>
  <c r="AE36" i="186"/>
  <c r="V36" i="186"/>
  <c r="M36" i="186" s="1"/>
  <c r="N36" i="186" s="1"/>
  <c r="U36" i="186"/>
  <c r="O36" i="186"/>
  <c r="K36" i="186"/>
  <c r="G36" i="186"/>
  <c r="AF35" i="186"/>
  <c r="AE35" i="186"/>
  <c r="V35" i="186"/>
  <c r="U35" i="186"/>
  <c r="O35" i="186"/>
  <c r="N35" i="186"/>
  <c r="Q35" i="186" s="1"/>
  <c r="M35" i="186"/>
  <c r="K35" i="186"/>
  <c r="G35" i="186"/>
  <c r="AF34" i="186"/>
  <c r="V34" i="186"/>
  <c r="U34" i="186"/>
  <c r="O34" i="186"/>
  <c r="M34" i="186"/>
  <c r="K34" i="186"/>
  <c r="G34" i="186"/>
  <c r="AF33" i="186"/>
  <c r="AE33" i="186"/>
  <c r="X33" i="186"/>
  <c r="W33" i="186"/>
  <c r="V33" i="186"/>
  <c r="M33" i="186" s="1"/>
  <c r="N33" i="186" s="1"/>
  <c r="Q33" i="186"/>
  <c r="P33" i="186"/>
  <c r="O33" i="186"/>
  <c r="K33" i="186"/>
  <c r="G33" i="186"/>
  <c r="AD32" i="186"/>
  <c r="Z32" i="186"/>
  <c r="Y32" i="186"/>
  <c r="G18" i="185" s="1"/>
  <c r="O32" i="186"/>
  <c r="M32" i="186"/>
  <c r="N32" i="186" s="1"/>
  <c r="K32" i="186"/>
  <c r="AF31" i="186"/>
  <c r="AE31" i="186"/>
  <c r="V31" i="186"/>
  <c r="M31" i="186" s="1"/>
  <c r="N31" i="186" s="1"/>
  <c r="P31" i="186" s="1"/>
  <c r="U31" i="186"/>
  <c r="Q31" i="186"/>
  <c r="O31" i="186"/>
  <c r="K31" i="186"/>
  <c r="G31" i="186"/>
  <c r="AE30" i="186"/>
  <c r="X30" i="186"/>
  <c r="W30" i="186"/>
  <c r="V30" i="186"/>
  <c r="U30" i="186"/>
  <c r="O30" i="186"/>
  <c r="N30" i="186"/>
  <c r="P30" i="186" s="1"/>
  <c r="M30" i="186"/>
  <c r="AF30" i="186" s="1"/>
  <c r="K30" i="186"/>
  <c r="G30" i="186"/>
  <c r="AF29" i="186"/>
  <c r="V29" i="186"/>
  <c r="U29" i="186"/>
  <c r="O29" i="186"/>
  <c r="M29" i="186"/>
  <c r="K29" i="186"/>
  <c r="G29" i="186"/>
  <c r="AF28" i="186"/>
  <c r="AE28" i="186"/>
  <c r="V28" i="186"/>
  <c r="U28" i="186"/>
  <c r="O28" i="186"/>
  <c r="N28" i="186"/>
  <c r="Q28" i="186" s="1"/>
  <c r="M28" i="186"/>
  <c r="K28" i="186"/>
  <c r="G28" i="186"/>
  <c r="V27" i="186"/>
  <c r="U27" i="186"/>
  <c r="O27" i="186"/>
  <c r="N27" i="186"/>
  <c r="M27" i="186"/>
  <c r="K27" i="186"/>
  <c r="G27" i="186"/>
  <c r="AF26" i="186"/>
  <c r="AE26" i="186"/>
  <c r="V26" i="186"/>
  <c r="M26" i="186" s="1"/>
  <c r="U26" i="186"/>
  <c r="O26" i="186"/>
  <c r="N26" i="186"/>
  <c r="Q26" i="186" s="1"/>
  <c r="K26" i="186"/>
  <c r="G26" i="186"/>
  <c r="V25" i="186"/>
  <c r="O25" i="186"/>
  <c r="N25" i="186"/>
  <c r="P25" i="186" s="1"/>
  <c r="M25" i="186"/>
  <c r="K25" i="186"/>
  <c r="G25" i="186"/>
  <c r="AD24" i="186"/>
  <c r="Z24" i="186"/>
  <c r="Y24" i="186"/>
  <c r="F18" i="185" s="1"/>
  <c r="O24" i="186"/>
  <c r="K24" i="186"/>
  <c r="AE23" i="186"/>
  <c r="V23" i="186"/>
  <c r="U23" i="186"/>
  <c r="O23" i="186"/>
  <c r="N23" i="186"/>
  <c r="Q23" i="186" s="1"/>
  <c r="M23" i="186"/>
  <c r="AF23" i="186" s="1"/>
  <c r="K23" i="186"/>
  <c r="G23" i="186"/>
  <c r="AF22" i="186"/>
  <c r="AE22" i="186"/>
  <c r="X22" i="186"/>
  <c r="W22" i="186"/>
  <c r="V22" i="186"/>
  <c r="U22" i="186"/>
  <c r="O22" i="186"/>
  <c r="M22" i="186"/>
  <c r="N22" i="186" s="1"/>
  <c r="K22" i="186"/>
  <c r="G22" i="186"/>
  <c r="AF21" i="186"/>
  <c r="AE21" i="186"/>
  <c r="V21" i="186"/>
  <c r="U21" i="186"/>
  <c r="O21" i="186"/>
  <c r="N21" i="186"/>
  <c r="P21" i="186" s="1"/>
  <c r="M21" i="186"/>
  <c r="K21" i="186"/>
  <c r="G21" i="186"/>
  <c r="V20" i="186"/>
  <c r="U20" i="186"/>
  <c r="O20" i="186"/>
  <c r="N20" i="186"/>
  <c r="M20" i="186"/>
  <c r="K20" i="186"/>
  <c r="G20" i="186"/>
  <c r="AF19" i="186"/>
  <c r="AE19" i="186"/>
  <c r="V19" i="186"/>
  <c r="M19" i="186" s="1"/>
  <c r="U19" i="186"/>
  <c r="O19" i="186"/>
  <c r="N19" i="186"/>
  <c r="P19" i="186" s="1"/>
  <c r="K19" i="186"/>
  <c r="G19" i="186"/>
  <c r="V18" i="186"/>
  <c r="U18" i="186"/>
  <c r="O18" i="186"/>
  <c r="N18" i="186"/>
  <c r="Q18" i="186" s="1"/>
  <c r="M18" i="186"/>
  <c r="K18" i="186"/>
  <c r="G18" i="186"/>
  <c r="AF17" i="186"/>
  <c r="AE17" i="186"/>
  <c r="V17" i="186"/>
  <c r="M17" i="186" s="1"/>
  <c r="N17" i="186" s="1"/>
  <c r="U17" i="186"/>
  <c r="Q17" i="186"/>
  <c r="P17" i="186"/>
  <c r="O17" i="186"/>
  <c r="K17" i="186"/>
  <c r="G17" i="186"/>
  <c r="V16" i="186"/>
  <c r="U16" i="186"/>
  <c r="O16" i="186"/>
  <c r="N16" i="186"/>
  <c r="Q16" i="186" s="1"/>
  <c r="M16" i="186"/>
  <c r="K16" i="186"/>
  <c r="G16" i="186"/>
  <c r="AF15" i="186"/>
  <c r="AE15" i="186"/>
  <c r="X15" i="186"/>
  <c r="W15" i="186"/>
  <c r="V15" i="186"/>
  <c r="O15" i="186"/>
  <c r="M15" i="186"/>
  <c r="K15" i="186"/>
  <c r="G15" i="186"/>
  <c r="AD14" i="186"/>
  <c r="Z14" i="186"/>
  <c r="Y14" i="186"/>
  <c r="E18" i="185" s="1"/>
  <c r="O14" i="186"/>
  <c r="M14" i="186"/>
  <c r="AF14" i="186" s="1"/>
  <c r="AG8" i="186" s="1"/>
  <c r="K14" i="186"/>
  <c r="V13" i="186"/>
  <c r="U13" i="186"/>
  <c r="O13" i="186"/>
  <c r="N13" i="186"/>
  <c r="M13" i="186"/>
  <c r="K13" i="186"/>
  <c r="G13" i="186"/>
  <c r="AF12" i="186"/>
  <c r="AE12" i="186"/>
  <c r="V12" i="186"/>
  <c r="M12" i="186" s="1"/>
  <c r="U12" i="186"/>
  <c r="Q12" i="186"/>
  <c r="P12" i="186"/>
  <c r="O12" i="186"/>
  <c r="N12" i="186"/>
  <c r="K12" i="186"/>
  <c r="G12" i="186"/>
  <c r="X11" i="186"/>
  <c r="W11" i="186"/>
  <c r="V11" i="186"/>
  <c r="U11" i="186"/>
  <c r="Q11" i="186"/>
  <c r="O11" i="186"/>
  <c r="N11" i="186"/>
  <c r="P11" i="186" s="1"/>
  <c r="M11" i="186"/>
  <c r="K11" i="186"/>
  <c r="G11" i="186"/>
  <c r="AF10" i="186"/>
  <c r="AE10" i="186"/>
  <c r="V10" i="186"/>
  <c r="M10" i="186" s="1"/>
  <c r="N10" i="186" s="1"/>
  <c r="U10" i="186"/>
  <c r="O10" i="186"/>
  <c r="K10" i="186"/>
  <c r="G10" i="186"/>
  <c r="AF9" i="186"/>
  <c r="AE9" i="186"/>
  <c r="V9" i="186"/>
  <c r="U9" i="186"/>
  <c r="Q9" i="186"/>
  <c r="P9" i="186"/>
  <c r="O9" i="186"/>
  <c r="N9" i="186"/>
  <c r="M9" i="186"/>
  <c r="K9" i="186"/>
  <c r="G9" i="186"/>
  <c r="AF8" i="186"/>
  <c r="X8" i="186"/>
  <c r="W8" i="186"/>
  <c r="V8" i="186"/>
  <c r="O8" i="186"/>
  <c r="N8" i="186"/>
  <c r="M8" i="186"/>
  <c r="AE8" i="186" s="1"/>
  <c r="K8" i="186"/>
  <c r="G8" i="186"/>
  <c r="AD7" i="186"/>
  <c r="AD2" i="186" s="1"/>
  <c r="N6" i="185" s="1"/>
  <c r="Z7" i="186"/>
  <c r="Y7" i="186"/>
  <c r="D18" i="185" s="1"/>
  <c r="O7" i="186"/>
  <c r="K7" i="186"/>
  <c r="V6" i="186"/>
  <c r="U6" i="186"/>
  <c r="O6" i="186"/>
  <c r="N6" i="186"/>
  <c r="Q6" i="186" s="1"/>
  <c r="M6" i="186"/>
  <c r="K6" i="186"/>
  <c r="G6" i="186"/>
  <c r="AF5" i="186"/>
  <c r="AE5" i="186"/>
  <c r="V5" i="186"/>
  <c r="M5" i="186" s="1"/>
  <c r="O5" i="186"/>
  <c r="K5" i="186"/>
  <c r="G5" i="186"/>
  <c r="Z2" i="186"/>
  <c r="L6" i="185" s="1"/>
  <c r="Y2" i="186"/>
  <c r="H2" i="186"/>
  <c r="H1" i="186"/>
  <c r="F1" i="186"/>
  <c r="I3" i="185" s="1"/>
  <c r="D1" i="186"/>
  <c r="M22" i="185"/>
  <c r="L22" i="185"/>
  <c r="K22" i="185"/>
  <c r="J22" i="185"/>
  <c r="I22" i="185"/>
  <c r="H22" i="185"/>
  <c r="G22" i="185"/>
  <c r="F22" i="185"/>
  <c r="E22" i="185"/>
  <c r="D22" i="185"/>
  <c r="K21" i="185"/>
  <c r="J21" i="185"/>
  <c r="I21" i="185"/>
  <c r="H21" i="185"/>
  <c r="G21" i="185"/>
  <c r="F21" i="185"/>
  <c r="E21" i="185"/>
  <c r="D21" i="185"/>
  <c r="M20" i="185"/>
  <c r="L20" i="185"/>
  <c r="K20" i="185"/>
  <c r="J20" i="185"/>
  <c r="I20" i="185"/>
  <c r="H20" i="185"/>
  <c r="G20" i="185"/>
  <c r="F20" i="185"/>
  <c r="E20" i="185"/>
  <c r="D20" i="185"/>
  <c r="K19" i="185"/>
  <c r="J19" i="185"/>
  <c r="I19" i="185"/>
  <c r="H19" i="185"/>
  <c r="G19" i="185"/>
  <c r="F19" i="185"/>
  <c r="E19" i="185"/>
  <c r="D19" i="185"/>
  <c r="M18" i="185"/>
  <c r="L18" i="185"/>
  <c r="K18" i="185"/>
  <c r="J18" i="185"/>
  <c r="I18" i="185"/>
  <c r="M17" i="185"/>
  <c r="L17" i="185"/>
  <c r="K17" i="185"/>
  <c r="J17" i="185"/>
  <c r="I17" i="185"/>
  <c r="H17" i="185"/>
  <c r="G17" i="185"/>
  <c r="F17" i="185"/>
  <c r="E17" i="185"/>
  <c r="D17" i="185"/>
  <c r="M16" i="185"/>
  <c r="L16" i="185"/>
  <c r="K16" i="185"/>
  <c r="J16" i="185"/>
  <c r="I16" i="185"/>
  <c r="H16" i="185"/>
  <c r="G16" i="185"/>
  <c r="F16" i="185"/>
  <c r="E16" i="185"/>
  <c r="D16" i="185"/>
  <c r="L14" i="185"/>
  <c r="L15" i="185" s="1"/>
  <c r="L13" i="185"/>
  <c r="K13" i="185"/>
  <c r="J13" i="185"/>
  <c r="I13" i="185"/>
  <c r="H13" i="185"/>
  <c r="G13" i="185"/>
  <c r="G6" i="185" s="1"/>
  <c r="F13" i="185"/>
  <c r="E13" i="185"/>
  <c r="D13" i="185"/>
  <c r="M6" i="185"/>
  <c r="K6" i="185"/>
  <c r="I6" i="185"/>
  <c r="F3" i="185"/>
  <c r="C3" i="185"/>
  <c r="D15" i="191" l="1"/>
  <c r="G7" i="191"/>
  <c r="F7" i="191"/>
  <c r="E7" i="191"/>
  <c r="I7" i="191"/>
  <c r="I8" i="191"/>
  <c r="Q13" i="190"/>
  <c r="R8" i="190" s="1"/>
  <c r="P13" i="190"/>
  <c r="E14" i="189"/>
  <c r="E15" i="189" s="1"/>
  <c r="Q30" i="190"/>
  <c r="R23" i="190" s="1"/>
  <c r="P30" i="190"/>
  <c r="G14" i="189"/>
  <c r="G15" i="189" s="1"/>
  <c r="J14" i="189"/>
  <c r="J15" i="189" s="1"/>
  <c r="Q66" i="190"/>
  <c r="R62" i="190" s="1"/>
  <c r="P66" i="190"/>
  <c r="Q52" i="190"/>
  <c r="R48" i="190" s="1"/>
  <c r="P52" i="190"/>
  <c r="H14" i="189"/>
  <c r="H15" i="189" s="1"/>
  <c r="D14" i="189"/>
  <c r="D2" i="190"/>
  <c r="Q7" i="190"/>
  <c r="R5" i="190" s="1"/>
  <c r="P7" i="190"/>
  <c r="Q74" i="190"/>
  <c r="R67" i="190" s="1"/>
  <c r="P74" i="190"/>
  <c r="M14" i="189"/>
  <c r="M15" i="189" s="1"/>
  <c r="Q47" i="190"/>
  <c r="R39" i="190" s="1"/>
  <c r="P47" i="190"/>
  <c r="L14" i="189"/>
  <c r="L15" i="189" s="1"/>
  <c r="Q22" i="190"/>
  <c r="R14" i="190" s="1"/>
  <c r="F14" i="189"/>
  <c r="F15" i="189" s="1"/>
  <c r="P22" i="190"/>
  <c r="Q61" i="190"/>
  <c r="R53" i="190" s="1"/>
  <c r="P61" i="190"/>
  <c r="I14" i="189"/>
  <c r="I15" i="189" s="1"/>
  <c r="K14" i="189"/>
  <c r="Q38" i="190"/>
  <c r="R31" i="190" s="1"/>
  <c r="P38" i="190"/>
  <c r="Q23" i="188"/>
  <c r="P23" i="188"/>
  <c r="P10" i="188"/>
  <c r="Q10" i="188"/>
  <c r="Q36" i="188"/>
  <c r="P36" i="188"/>
  <c r="Q72" i="188"/>
  <c r="P72" i="188"/>
  <c r="AE47" i="188"/>
  <c r="AF47" i="188"/>
  <c r="AG39" i="188" s="1"/>
  <c r="N47" i="188"/>
  <c r="P58" i="188"/>
  <c r="Q58" i="188"/>
  <c r="N30" i="188"/>
  <c r="AE30" i="188"/>
  <c r="AF30" i="188"/>
  <c r="AG23" i="188" s="1"/>
  <c r="Q41" i="188"/>
  <c r="P41" i="188"/>
  <c r="P49" i="188"/>
  <c r="Q49" i="188"/>
  <c r="AE7" i="188"/>
  <c r="AF7" i="188"/>
  <c r="AG5" i="188" s="1"/>
  <c r="N7" i="188"/>
  <c r="AE38" i="188"/>
  <c r="AF38" i="188"/>
  <c r="AG31" i="188" s="1"/>
  <c r="N38" i="188"/>
  <c r="P50" i="188"/>
  <c r="Q50" i="188"/>
  <c r="N74" i="188"/>
  <c r="AF74" i="188"/>
  <c r="AG67" i="188" s="1"/>
  <c r="AE74" i="188"/>
  <c r="P8" i="188"/>
  <c r="Q8" i="188"/>
  <c r="AE52" i="188"/>
  <c r="AF52" i="188"/>
  <c r="AG48" i="188" s="1"/>
  <c r="N52" i="188"/>
  <c r="P43" i="188"/>
  <c r="Q43" i="188"/>
  <c r="P16" i="188"/>
  <c r="Q16" i="188"/>
  <c r="P67" i="188"/>
  <c r="Q67" i="188"/>
  <c r="P59" i="188"/>
  <c r="Q59" i="188"/>
  <c r="P29" i="188"/>
  <c r="Q29" i="188"/>
  <c r="Q17" i="188"/>
  <c r="P17" i="188"/>
  <c r="N66" i="188"/>
  <c r="AE66" i="188"/>
  <c r="AF66" i="188"/>
  <c r="AG62" i="188" s="1"/>
  <c r="P5" i="188"/>
  <c r="Q5" i="188"/>
  <c r="AE61" i="188"/>
  <c r="AF61" i="188"/>
  <c r="AG53" i="188" s="1"/>
  <c r="N61" i="188"/>
  <c r="F2" i="188"/>
  <c r="I3" i="187"/>
  <c r="N22" i="188"/>
  <c r="AE22" i="188"/>
  <c r="AF22" i="188"/>
  <c r="AG14" i="188" s="1"/>
  <c r="Q9" i="188"/>
  <c r="P9" i="188"/>
  <c r="P69" i="188"/>
  <c r="Q69" i="188"/>
  <c r="P62" i="188"/>
  <c r="Q62" i="188"/>
  <c r="P42" i="188"/>
  <c r="Q42" i="188"/>
  <c r="N13" i="188"/>
  <c r="AE13" i="188"/>
  <c r="AF13" i="188"/>
  <c r="AG8" i="188" s="1"/>
  <c r="I7" i="185"/>
  <c r="K15" i="185"/>
  <c r="I8" i="185" s="1"/>
  <c r="P74" i="186"/>
  <c r="Q74" i="186"/>
  <c r="P69" i="186"/>
  <c r="J14" i="185"/>
  <c r="J15" i="185" s="1"/>
  <c r="Q69" i="186"/>
  <c r="R65" i="186" s="1"/>
  <c r="Q54" i="186"/>
  <c r="P54" i="186"/>
  <c r="Q63" i="186"/>
  <c r="P63" i="186"/>
  <c r="G14" i="185"/>
  <c r="G15" i="185" s="1"/>
  <c r="Q32" i="186"/>
  <c r="R25" i="186" s="1"/>
  <c r="P32" i="186"/>
  <c r="P37" i="186"/>
  <c r="Q37" i="186"/>
  <c r="P18" i="186"/>
  <c r="P16" i="186"/>
  <c r="Q44" i="186"/>
  <c r="N14" i="186"/>
  <c r="P42" i="186"/>
  <c r="P40" i="186"/>
  <c r="Q77" i="186"/>
  <c r="P62" i="186"/>
  <c r="P6" i="186"/>
  <c r="P23" i="186"/>
  <c r="N56" i="186"/>
  <c r="Q60" i="186"/>
  <c r="N67" i="186"/>
  <c r="P28" i="186"/>
  <c r="P65" i="186"/>
  <c r="AE50" i="186"/>
  <c r="AE14" i="186"/>
  <c r="Q25" i="186"/>
  <c r="P51" i="186"/>
  <c r="P35" i="186"/>
  <c r="P46" i="186"/>
  <c r="P53" i="186"/>
  <c r="Q21" i="186"/>
  <c r="N47" i="186"/>
  <c r="P49" i="186"/>
  <c r="F2" i="186"/>
  <c r="Q19" i="186"/>
  <c r="Q30" i="186"/>
  <c r="Q58" i="186"/>
  <c r="E6" i="185"/>
  <c r="P26" i="186"/>
  <c r="AF50" i="186"/>
  <c r="AG42" i="186" s="1"/>
  <c r="F6" i="185"/>
  <c r="AE67" i="186"/>
  <c r="M7" i="186"/>
  <c r="N5" i="186"/>
  <c r="AE6" i="186"/>
  <c r="AF6" i="186"/>
  <c r="Q8" i="186"/>
  <c r="P8" i="186"/>
  <c r="Q10" i="186"/>
  <c r="P10" i="186"/>
  <c r="AF11" i="186"/>
  <c r="AE11" i="186"/>
  <c r="AF13" i="186"/>
  <c r="AE13" i="186"/>
  <c r="Q13" i="186"/>
  <c r="P13" i="186"/>
  <c r="M24" i="186"/>
  <c r="N15" i="186"/>
  <c r="AF16" i="186"/>
  <c r="AE16" i="186"/>
  <c r="AE18" i="186"/>
  <c r="AF18" i="186"/>
  <c r="AF20" i="186"/>
  <c r="AE20" i="186"/>
  <c r="Q20" i="186"/>
  <c r="P20" i="186"/>
  <c r="Q22" i="186"/>
  <c r="P22" i="186"/>
  <c r="AF25" i="186"/>
  <c r="AE25" i="186"/>
  <c r="AF27" i="186"/>
  <c r="AE27" i="186"/>
  <c r="Q27" i="186"/>
  <c r="P27" i="186"/>
  <c r="AE29" i="186"/>
  <c r="N29" i="186"/>
  <c r="AF32" i="186"/>
  <c r="AG25" i="186" s="1"/>
  <c r="AE32" i="186"/>
  <c r="AE34" i="186"/>
  <c r="N34" i="186"/>
  <c r="Q36" i="186"/>
  <c r="P36" i="186"/>
  <c r="AF37" i="186"/>
  <c r="AE37" i="186"/>
  <c r="AF39" i="186"/>
  <c r="AE39" i="186"/>
  <c r="AF41" i="186"/>
  <c r="AG33" i="186" s="1"/>
  <c r="AE41" i="186"/>
  <c r="Q41" i="186"/>
  <c r="R33" i="186" s="1"/>
  <c r="P41" i="186"/>
  <c r="Q50" i="186"/>
  <c r="R42" i="186" s="1"/>
  <c r="P50" i="186"/>
  <c r="AF44" i="186"/>
  <c r="AE44" i="186"/>
  <c r="AF46" i="186"/>
  <c r="AE46" i="186"/>
  <c r="P48" i="186"/>
  <c r="Q48" i="186"/>
  <c r="AF51" i="186"/>
  <c r="AE51" i="186"/>
  <c r="AE53" i="186"/>
  <c r="AF53" i="186"/>
  <c r="AF55" i="186"/>
  <c r="AG51" i="186" s="1"/>
  <c r="AE55" i="186"/>
  <c r="H14" i="185"/>
  <c r="H15" i="185" s="1"/>
  <c r="Q55" i="186"/>
  <c r="R51" i="186" s="1"/>
  <c r="P55" i="186"/>
  <c r="Q57" i="186"/>
  <c r="P57" i="186"/>
  <c r="AF60" i="186"/>
  <c r="AE60" i="186"/>
  <c r="AE62" i="186"/>
  <c r="AF62" i="186"/>
  <c r="AF64" i="186"/>
  <c r="AG56" i="186" s="1"/>
  <c r="AE64" i="186"/>
  <c r="Q64" i="186"/>
  <c r="R56" i="186" s="1"/>
  <c r="P64" i="186"/>
  <c r="Q66" i="186"/>
  <c r="P66" i="186"/>
  <c r="AF69" i="186"/>
  <c r="AG65" i="186" s="1"/>
  <c r="AE69" i="186"/>
  <c r="AE71" i="186"/>
  <c r="N71" i="186"/>
  <c r="Q73" i="186"/>
  <c r="P73" i="186"/>
  <c r="AF74" i="186"/>
  <c r="AE74" i="186"/>
  <c r="AF76" i="186"/>
  <c r="AE76" i="186"/>
  <c r="AF78" i="186"/>
  <c r="AG70" i="186" s="1"/>
  <c r="AE78" i="186"/>
  <c r="Q78" i="186"/>
  <c r="R70" i="186" s="1"/>
  <c r="P78" i="186"/>
  <c r="AD79" i="184"/>
  <c r="Z79" i="184"/>
  <c r="Y79" i="184"/>
  <c r="O79" i="184"/>
  <c r="K79" i="184"/>
  <c r="V78" i="184"/>
  <c r="U78" i="184"/>
  <c r="O78" i="184"/>
  <c r="M78" i="184"/>
  <c r="AF78" i="184" s="1"/>
  <c r="K78" i="184"/>
  <c r="G78" i="184"/>
  <c r="V77" i="184"/>
  <c r="U77" i="184"/>
  <c r="O77" i="184"/>
  <c r="M77" i="184"/>
  <c r="K77" i="184"/>
  <c r="G77" i="184"/>
  <c r="V76" i="184"/>
  <c r="M76" i="184" s="1"/>
  <c r="N76" i="184" s="1"/>
  <c r="Q76" i="184" s="1"/>
  <c r="U76" i="184"/>
  <c r="P76" i="184"/>
  <c r="O76" i="184"/>
  <c r="K76" i="184"/>
  <c r="G76" i="184"/>
  <c r="V75" i="184"/>
  <c r="U75" i="184"/>
  <c r="Q75" i="184"/>
  <c r="P75" i="184"/>
  <c r="O75" i="184"/>
  <c r="N75" i="184"/>
  <c r="M75" i="184"/>
  <c r="K75" i="184"/>
  <c r="G75" i="184"/>
  <c r="X74" i="184"/>
  <c r="W74" i="184"/>
  <c r="V74" i="184"/>
  <c r="M74" i="184" s="1"/>
  <c r="N74" i="184" s="1"/>
  <c r="U74" i="184"/>
  <c r="O74" i="184"/>
  <c r="K74" i="184"/>
  <c r="G74" i="184"/>
  <c r="V73" i="184"/>
  <c r="M73" i="184" s="1"/>
  <c r="U73" i="184"/>
  <c r="O73" i="184"/>
  <c r="K73" i="184"/>
  <c r="G73" i="184"/>
  <c r="AF72" i="184"/>
  <c r="AE72" i="184"/>
  <c r="V72" i="184"/>
  <c r="U72" i="184"/>
  <c r="O72" i="184"/>
  <c r="N72" i="184"/>
  <c r="Q72" i="184" s="1"/>
  <c r="M72" i="184"/>
  <c r="K72" i="184"/>
  <c r="G72" i="184"/>
  <c r="V71" i="184"/>
  <c r="M71" i="184" s="1"/>
  <c r="U71" i="184"/>
  <c r="O71" i="184"/>
  <c r="K71" i="184"/>
  <c r="G71" i="184"/>
  <c r="X70" i="184"/>
  <c r="W70" i="184"/>
  <c r="V70" i="184"/>
  <c r="O70" i="184"/>
  <c r="M70" i="184"/>
  <c r="N70" i="184" s="1"/>
  <c r="K70" i="184"/>
  <c r="G70" i="184"/>
  <c r="AD69" i="184"/>
  <c r="Z69" i="184"/>
  <c r="J19" i="183" s="1"/>
  <c r="Y69" i="184"/>
  <c r="Y2" i="184" s="1"/>
  <c r="K6" i="183" s="1"/>
  <c r="O69" i="184"/>
  <c r="K69" i="184"/>
  <c r="V68" i="184"/>
  <c r="U68" i="184"/>
  <c r="O68" i="184"/>
  <c r="M68" i="184"/>
  <c r="AF68" i="184" s="1"/>
  <c r="K68" i="184"/>
  <c r="G68" i="184"/>
  <c r="V67" i="184"/>
  <c r="M67" i="184" s="1"/>
  <c r="N67" i="184" s="1"/>
  <c r="U67" i="184"/>
  <c r="O67" i="184"/>
  <c r="K67" i="184"/>
  <c r="G67" i="184"/>
  <c r="AF66" i="184"/>
  <c r="V66" i="184"/>
  <c r="U66" i="184"/>
  <c r="O66" i="184"/>
  <c r="M66" i="184"/>
  <c r="K66" i="184"/>
  <c r="G66" i="184"/>
  <c r="AF65" i="184"/>
  <c r="AE65" i="184"/>
  <c r="V65" i="184"/>
  <c r="O65" i="184"/>
  <c r="N65" i="184"/>
  <c r="M65" i="184"/>
  <c r="K65" i="184"/>
  <c r="G65" i="184"/>
  <c r="AD64" i="184"/>
  <c r="I21" i="183" s="1"/>
  <c r="Z64" i="184"/>
  <c r="I19" i="183" s="1"/>
  <c r="Y64" i="184"/>
  <c r="O64" i="184"/>
  <c r="K64" i="184"/>
  <c r="V63" i="184"/>
  <c r="U63" i="184"/>
  <c r="O63" i="184"/>
  <c r="M63" i="184"/>
  <c r="K63" i="184"/>
  <c r="G63" i="184"/>
  <c r="AF62" i="184"/>
  <c r="AE62" i="184"/>
  <c r="X62" i="184"/>
  <c r="W62" i="184"/>
  <c r="V62" i="184"/>
  <c r="M62" i="184" s="1"/>
  <c r="N62" i="184" s="1"/>
  <c r="P62" i="184" s="1"/>
  <c r="U62" i="184"/>
  <c r="Q62" i="184"/>
  <c r="O62" i="184"/>
  <c r="K62" i="184"/>
  <c r="G62" i="184"/>
  <c r="V61" i="184"/>
  <c r="U61" i="184"/>
  <c r="O61" i="184"/>
  <c r="M61" i="184"/>
  <c r="AF61" i="184" s="1"/>
  <c r="K61" i="184"/>
  <c r="G61" i="184"/>
  <c r="V60" i="184"/>
  <c r="M60" i="184" s="1"/>
  <c r="N60" i="184" s="1"/>
  <c r="U60" i="184"/>
  <c r="O60" i="184"/>
  <c r="K60" i="184"/>
  <c r="G60" i="184"/>
  <c r="V59" i="184"/>
  <c r="U59" i="184"/>
  <c r="O59" i="184"/>
  <c r="M59" i="184"/>
  <c r="AE59" i="184" s="1"/>
  <c r="K59" i="184"/>
  <c r="G59" i="184"/>
  <c r="AF58" i="184"/>
  <c r="AE58" i="184"/>
  <c r="V58" i="184"/>
  <c r="U58" i="184"/>
  <c r="O58" i="184"/>
  <c r="N58" i="184"/>
  <c r="Q58" i="184" s="1"/>
  <c r="M58" i="184"/>
  <c r="K58" i="184"/>
  <c r="G58" i="184"/>
  <c r="V57" i="184"/>
  <c r="U57" i="184"/>
  <c r="O57" i="184"/>
  <c r="M57" i="184"/>
  <c r="AE57" i="184" s="1"/>
  <c r="K57" i="184"/>
  <c r="G57" i="184"/>
  <c r="V56" i="184"/>
  <c r="U56" i="184"/>
  <c r="O56" i="184"/>
  <c r="M56" i="184"/>
  <c r="K56" i="184"/>
  <c r="G56" i="184"/>
  <c r="V55" i="184"/>
  <c r="M55" i="184" s="1"/>
  <c r="AE55" i="184" s="1"/>
  <c r="O55" i="184"/>
  <c r="K55" i="184"/>
  <c r="G55" i="184"/>
  <c r="AD54" i="184"/>
  <c r="Z54" i="184"/>
  <c r="Y54" i="184"/>
  <c r="O54" i="184"/>
  <c r="M54" i="184"/>
  <c r="K54" i="184"/>
  <c r="H13" i="183" s="1"/>
  <c r="AE53" i="184"/>
  <c r="V53" i="184"/>
  <c r="M53" i="184" s="1"/>
  <c r="N53" i="184" s="1"/>
  <c r="P53" i="184" s="1"/>
  <c r="U53" i="184"/>
  <c r="Q53" i="184"/>
  <c r="O53" i="184"/>
  <c r="K53" i="184"/>
  <c r="G53" i="184"/>
  <c r="V52" i="184"/>
  <c r="U52" i="184"/>
  <c r="O52" i="184"/>
  <c r="M52" i="184"/>
  <c r="AF52" i="184" s="1"/>
  <c r="K52" i="184"/>
  <c r="G52" i="184"/>
  <c r="AF51" i="184"/>
  <c r="V51" i="184"/>
  <c r="M51" i="184" s="1"/>
  <c r="N51" i="184" s="1"/>
  <c r="U51" i="184"/>
  <c r="O51" i="184"/>
  <c r="K51" i="184"/>
  <c r="G51" i="184"/>
  <c r="V50" i="184"/>
  <c r="O50" i="184"/>
  <c r="M50" i="184"/>
  <c r="AF50" i="184" s="1"/>
  <c r="K50" i="184"/>
  <c r="G50" i="184"/>
  <c r="AD49" i="184"/>
  <c r="Z49" i="184"/>
  <c r="Y49" i="184"/>
  <c r="O49" i="184"/>
  <c r="K49" i="184"/>
  <c r="V48" i="184"/>
  <c r="U48" i="184"/>
  <c r="O48" i="184"/>
  <c r="M48" i="184"/>
  <c r="AF48" i="184" s="1"/>
  <c r="K48" i="184"/>
  <c r="G48" i="184"/>
  <c r="V47" i="184"/>
  <c r="U47" i="184"/>
  <c r="O47" i="184"/>
  <c r="M47" i="184"/>
  <c r="K47" i="184"/>
  <c r="G47" i="184"/>
  <c r="AE46" i="184"/>
  <c r="V46" i="184"/>
  <c r="M46" i="184" s="1"/>
  <c r="N46" i="184" s="1"/>
  <c r="U46" i="184"/>
  <c r="Q46" i="184"/>
  <c r="P46" i="184"/>
  <c r="O46" i="184"/>
  <c r="K46" i="184"/>
  <c r="G46" i="184"/>
  <c r="X45" i="184"/>
  <c r="W45" i="184"/>
  <c r="V45" i="184"/>
  <c r="U45" i="184"/>
  <c r="O45" i="184"/>
  <c r="M45" i="184"/>
  <c r="K45" i="184"/>
  <c r="G45" i="184"/>
  <c r="AE44" i="184"/>
  <c r="V44" i="184"/>
  <c r="M44" i="184" s="1"/>
  <c r="N44" i="184" s="1"/>
  <c r="U44" i="184"/>
  <c r="O44" i="184"/>
  <c r="K44" i="184"/>
  <c r="G44" i="184"/>
  <c r="V43" i="184"/>
  <c r="U43" i="184"/>
  <c r="O43" i="184"/>
  <c r="M43" i="184"/>
  <c r="AE43" i="184" s="1"/>
  <c r="K43" i="184"/>
  <c r="G43" i="184"/>
  <c r="AF42" i="184"/>
  <c r="AE42" i="184"/>
  <c r="V42" i="184"/>
  <c r="U42" i="184"/>
  <c r="O42" i="184"/>
  <c r="N42" i="184"/>
  <c r="Q42" i="184" s="1"/>
  <c r="M42" i="184"/>
  <c r="K42" i="184"/>
  <c r="G42" i="184"/>
  <c r="X41" i="184"/>
  <c r="W41" i="184"/>
  <c r="V41" i="184"/>
  <c r="M41" i="184" s="1"/>
  <c r="N41" i="184" s="1"/>
  <c r="Q41" i="184"/>
  <c r="P41" i="184"/>
  <c r="O41" i="184"/>
  <c r="K41" i="184"/>
  <c r="G41" i="184"/>
  <c r="AD40" i="184"/>
  <c r="Z40" i="184"/>
  <c r="Y40" i="184"/>
  <c r="O40" i="184"/>
  <c r="K40" i="184"/>
  <c r="V39" i="184"/>
  <c r="M39" i="184" s="1"/>
  <c r="N39" i="184" s="1"/>
  <c r="P39" i="184" s="1"/>
  <c r="U39" i="184"/>
  <c r="Q39" i="184"/>
  <c r="O39" i="184"/>
  <c r="K39" i="184"/>
  <c r="G39" i="184"/>
  <c r="V38" i="184"/>
  <c r="U38" i="184"/>
  <c r="O38" i="184"/>
  <c r="M38" i="184"/>
  <c r="AF38" i="184" s="1"/>
  <c r="K38" i="184"/>
  <c r="G38" i="184"/>
  <c r="V37" i="184"/>
  <c r="M37" i="184" s="1"/>
  <c r="N37" i="184" s="1"/>
  <c r="U37" i="184"/>
  <c r="O37" i="184"/>
  <c r="K37" i="184"/>
  <c r="G37" i="184"/>
  <c r="V36" i="184"/>
  <c r="M36" i="184" s="1"/>
  <c r="U36" i="184"/>
  <c r="O36" i="184"/>
  <c r="K36" i="184"/>
  <c r="G36" i="184"/>
  <c r="X35" i="184"/>
  <c r="W35" i="184"/>
  <c r="V35" i="184"/>
  <c r="U35" i="184"/>
  <c r="O35" i="184"/>
  <c r="M35" i="184"/>
  <c r="AE35" i="184" s="1"/>
  <c r="K35" i="184"/>
  <c r="G35" i="184"/>
  <c r="AF34" i="184"/>
  <c r="AE34" i="184"/>
  <c r="V34" i="184"/>
  <c r="M34" i="184" s="1"/>
  <c r="U34" i="184"/>
  <c r="O34" i="184"/>
  <c r="N34" i="184"/>
  <c r="Q34" i="184" s="1"/>
  <c r="K34" i="184"/>
  <c r="G34" i="184"/>
  <c r="V33" i="184"/>
  <c r="U33" i="184"/>
  <c r="O33" i="184"/>
  <c r="M33" i="184"/>
  <c r="K33" i="184"/>
  <c r="G33" i="184"/>
  <c r="V32" i="184"/>
  <c r="M32" i="184" s="1"/>
  <c r="N32" i="184" s="1"/>
  <c r="P32" i="184" s="1"/>
  <c r="U32" i="184"/>
  <c r="O32" i="184"/>
  <c r="K32" i="184"/>
  <c r="G32" i="184"/>
  <c r="X31" i="184"/>
  <c r="W31" i="184"/>
  <c r="V31" i="184"/>
  <c r="O31" i="184"/>
  <c r="M31" i="184"/>
  <c r="AF31" i="184" s="1"/>
  <c r="K31" i="184"/>
  <c r="G31" i="184"/>
  <c r="AD30" i="184"/>
  <c r="Z30" i="184"/>
  <c r="Y30" i="184"/>
  <c r="O30" i="184"/>
  <c r="K30" i="184"/>
  <c r="G13" i="183" s="1"/>
  <c r="V29" i="184"/>
  <c r="U29" i="184"/>
  <c r="O29" i="184"/>
  <c r="M29" i="184"/>
  <c r="N29" i="184" s="1"/>
  <c r="K29" i="184"/>
  <c r="G29" i="184"/>
  <c r="X28" i="184"/>
  <c r="W28" i="184"/>
  <c r="V28" i="184"/>
  <c r="U28" i="184"/>
  <c r="O28" i="184"/>
  <c r="M28" i="184"/>
  <c r="N28" i="184" s="1"/>
  <c r="K28" i="184"/>
  <c r="G28" i="184"/>
  <c r="AF27" i="184"/>
  <c r="AE27" i="184"/>
  <c r="V27" i="184"/>
  <c r="M27" i="184" s="1"/>
  <c r="N27" i="184" s="1"/>
  <c r="U27" i="184"/>
  <c r="Q27" i="184"/>
  <c r="P27" i="184"/>
  <c r="O27" i="184"/>
  <c r="K27" i="184"/>
  <c r="G27" i="184"/>
  <c r="V26" i="184"/>
  <c r="U26" i="184"/>
  <c r="Q26" i="184"/>
  <c r="O26" i="184"/>
  <c r="N26" i="184"/>
  <c r="P26" i="184" s="1"/>
  <c r="M26" i="184"/>
  <c r="K26" i="184"/>
  <c r="G26" i="184"/>
  <c r="V25" i="184"/>
  <c r="M25" i="184" s="1"/>
  <c r="N25" i="184" s="1"/>
  <c r="U25" i="184"/>
  <c r="O25" i="184"/>
  <c r="K25" i="184"/>
  <c r="G25" i="184"/>
  <c r="V24" i="184"/>
  <c r="M24" i="184" s="1"/>
  <c r="U24" i="184"/>
  <c r="O24" i="184"/>
  <c r="K24" i="184"/>
  <c r="G24" i="184"/>
  <c r="AF23" i="184"/>
  <c r="AE23" i="184"/>
  <c r="V23" i="184"/>
  <c r="O23" i="184"/>
  <c r="N23" i="184"/>
  <c r="Q23" i="184" s="1"/>
  <c r="M23" i="184"/>
  <c r="K23" i="184"/>
  <c r="G23" i="184"/>
  <c r="AD22" i="184"/>
  <c r="F21" i="183" s="1"/>
  <c r="Z22" i="184"/>
  <c r="F19" i="183" s="1"/>
  <c r="Y22" i="184"/>
  <c r="O22" i="184"/>
  <c r="K22" i="184"/>
  <c r="V21" i="184"/>
  <c r="U21" i="184"/>
  <c r="O21" i="184"/>
  <c r="M21" i="184"/>
  <c r="K21" i="184"/>
  <c r="G21" i="184"/>
  <c r="V20" i="184"/>
  <c r="M20" i="184" s="1"/>
  <c r="AF20" i="184" s="1"/>
  <c r="U20" i="184"/>
  <c r="O20" i="184"/>
  <c r="N20" i="184"/>
  <c r="Q20" i="184" s="1"/>
  <c r="K20" i="184"/>
  <c r="G20" i="184"/>
  <c r="V19" i="184"/>
  <c r="U19" i="184"/>
  <c r="O19" i="184"/>
  <c r="M19" i="184"/>
  <c r="K19" i="184"/>
  <c r="G19" i="184"/>
  <c r="V18" i="184"/>
  <c r="M18" i="184" s="1"/>
  <c r="N18" i="184" s="1"/>
  <c r="U18" i="184"/>
  <c r="Q18" i="184"/>
  <c r="P18" i="184"/>
  <c r="O18" i="184"/>
  <c r="K18" i="184"/>
  <c r="G18" i="184"/>
  <c r="V17" i="184"/>
  <c r="U17" i="184"/>
  <c r="O17" i="184"/>
  <c r="N17" i="184"/>
  <c r="Q17" i="184" s="1"/>
  <c r="M17" i="184"/>
  <c r="K17" i="184"/>
  <c r="G17" i="184"/>
  <c r="V16" i="184"/>
  <c r="M16" i="184" s="1"/>
  <c r="N16" i="184" s="1"/>
  <c r="U16" i="184"/>
  <c r="O16" i="184"/>
  <c r="K16" i="184"/>
  <c r="G16" i="184"/>
  <c r="AF15" i="184"/>
  <c r="AE15" i="184"/>
  <c r="X15" i="184"/>
  <c r="W15" i="184"/>
  <c r="V15" i="184"/>
  <c r="O15" i="184"/>
  <c r="M15" i="184"/>
  <c r="M22" i="184" s="1"/>
  <c r="K15" i="184"/>
  <c r="G15" i="184"/>
  <c r="AD14" i="184"/>
  <c r="Z14" i="184"/>
  <c r="Y14" i="184"/>
  <c r="O14" i="184"/>
  <c r="K14" i="184"/>
  <c r="E13" i="183" s="1"/>
  <c r="G6" i="183" s="1"/>
  <c r="AF13" i="184"/>
  <c r="V13" i="184"/>
  <c r="M13" i="184" s="1"/>
  <c r="AE13" i="184" s="1"/>
  <c r="U13" i="184"/>
  <c r="Q13" i="184"/>
  <c r="O13" i="184"/>
  <c r="N13" i="184"/>
  <c r="P13" i="184" s="1"/>
  <c r="K13" i="184"/>
  <c r="G13" i="184"/>
  <c r="V12" i="184"/>
  <c r="U12" i="184"/>
  <c r="O12" i="184"/>
  <c r="M12" i="184"/>
  <c r="N12" i="184" s="1"/>
  <c r="K12" i="184"/>
  <c r="G12" i="184"/>
  <c r="AF11" i="184"/>
  <c r="AE11" i="184"/>
  <c r="X11" i="184"/>
  <c r="W11" i="184"/>
  <c r="V11" i="184"/>
  <c r="M11" i="184" s="1"/>
  <c r="N11" i="184" s="1"/>
  <c r="U11" i="184"/>
  <c r="O11" i="184"/>
  <c r="K11" i="184"/>
  <c r="G11" i="184"/>
  <c r="V10" i="184"/>
  <c r="U10" i="184"/>
  <c r="O10" i="184"/>
  <c r="M10" i="184"/>
  <c r="AF10" i="184" s="1"/>
  <c r="K10" i="184"/>
  <c r="G10" i="184"/>
  <c r="AF9" i="184"/>
  <c r="AE9" i="184"/>
  <c r="V9" i="184"/>
  <c r="U9" i="184"/>
  <c r="O9" i="184"/>
  <c r="N9" i="184"/>
  <c r="Q9" i="184" s="1"/>
  <c r="M9" i="184"/>
  <c r="K9" i="184"/>
  <c r="G9" i="184"/>
  <c r="X8" i="184"/>
  <c r="W8" i="184"/>
  <c r="V8" i="184"/>
  <c r="M8" i="184" s="1"/>
  <c r="AE8" i="184" s="1"/>
  <c r="O8" i="184"/>
  <c r="K8" i="184"/>
  <c r="G8" i="184"/>
  <c r="AD7" i="184"/>
  <c r="Z7" i="184"/>
  <c r="Y7" i="184"/>
  <c r="O7" i="184"/>
  <c r="K7" i="184"/>
  <c r="D13" i="183" s="1"/>
  <c r="V6" i="184"/>
  <c r="M6" i="184" s="1"/>
  <c r="N6" i="184" s="1"/>
  <c r="U6" i="184"/>
  <c r="Q6" i="184"/>
  <c r="P6" i="184"/>
  <c r="O6" i="184"/>
  <c r="K6" i="184"/>
  <c r="G6" i="184"/>
  <c r="AF5" i="184"/>
  <c r="AE5" i="184"/>
  <c r="V5" i="184"/>
  <c r="O5" i="184"/>
  <c r="N5" i="184"/>
  <c r="Q5" i="184" s="1"/>
  <c r="M5" i="184"/>
  <c r="K5" i="184"/>
  <c r="G5" i="184"/>
  <c r="H2" i="184"/>
  <c r="H1" i="184"/>
  <c r="D1" i="184"/>
  <c r="M22" i="183"/>
  <c r="L22" i="183"/>
  <c r="K22" i="183"/>
  <c r="J22" i="183"/>
  <c r="I22" i="183"/>
  <c r="H22" i="183"/>
  <c r="G22" i="183"/>
  <c r="F22" i="183"/>
  <c r="E22" i="183"/>
  <c r="D22" i="183"/>
  <c r="M21" i="183"/>
  <c r="L21" i="183"/>
  <c r="K21" i="183"/>
  <c r="J21" i="183"/>
  <c r="H21" i="183"/>
  <c r="G21" i="183"/>
  <c r="E21" i="183"/>
  <c r="D21" i="183"/>
  <c r="M20" i="183"/>
  <c r="L20" i="183"/>
  <c r="K20" i="183"/>
  <c r="J20" i="183"/>
  <c r="I20" i="183"/>
  <c r="H20" i="183"/>
  <c r="G20" i="183"/>
  <c r="F20" i="183"/>
  <c r="E20" i="183"/>
  <c r="D20" i="183"/>
  <c r="M19" i="183"/>
  <c r="L19" i="183"/>
  <c r="K19" i="183"/>
  <c r="H19" i="183"/>
  <c r="G19" i="183"/>
  <c r="E19" i="183"/>
  <c r="D19" i="183"/>
  <c r="M18" i="183"/>
  <c r="L18" i="183"/>
  <c r="K18" i="183"/>
  <c r="I18" i="183"/>
  <c r="H18" i="183"/>
  <c r="G18" i="183"/>
  <c r="F18" i="183"/>
  <c r="E18" i="183"/>
  <c r="D18" i="183"/>
  <c r="M17" i="183"/>
  <c r="L17" i="183"/>
  <c r="K17" i="183"/>
  <c r="J17" i="183"/>
  <c r="I17" i="183"/>
  <c r="H17" i="183"/>
  <c r="G17" i="183"/>
  <c r="F17" i="183"/>
  <c r="E17" i="183"/>
  <c r="D17" i="183"/>
  <c r="M16" i="183"/>
  <c r="L16" i="183"/>
  <c r="K16" i="183"/>
  <c r="J16" i="183"/>
  <c r="I16" i="183"/>
  <c r="H16" i="183"/>
  <c r="G16" i="183"/>
  <c r="F16" i="183"/>
  <c r="E16" i="183"/>
  <c r="D16" i="183"/>
  <c r="M13" i="183"/>
  <c r="L13" i="183"/>
  <c r="K13" i="183"/>
  <c r="I6" i="183" s="1"/>
  <c r="J13" i="183"/>
  <c r="I13" i="183"/>
  <c r="F13" i="183"/>
  <c r="M6" i="183"/>
  <c r="F3" i="183"/>
  <c r="C3" i="183"/>
  <c r="G8" i="191" l="1"/>
  <c r="F8" i="191"/>
  <c r="E8" i="191"/>
  <c r="G7" i="189"/>
  <c r="F7" i="189"/>
  <c r="E7" i="189"/>
  <c r="D15" i="189"/>
  <c r="K15" i="189"/>
  <c r="I8" i="189" s="1"/>
  <c r="I7" i="189"/>
  <c r="P13" i="188"/>
  <c r="Q13" i="188"/>
  <c r="R8" i="188" s="1"/>
  <c r="E14" i="187"/>
  <c r="E15" i="187" s="1"/>
  <c r="J14" i="187"/>
  <c r="J15" i="187" s="1"/>
  <c r="P66" i="188"/>
  <c r="Q66" i="188"/>
  <c r="R62" i="188" s="1"/>
  <c r="P38" i="188"/>
  <c r="Q38" i="188"/>
  <c r="R31" i="188" s="1"/>
  <c r="K14" i="187"/>
  <c r="I14" i="187"/>
  <c r="I15" i="187" s="1"/>
  <c r="Q61" i="188"/>
  <c r="R53" i="188" s="1"/>
  <c r="P61" i="188"/>
  <c r="P30" i="188"/>
  <c r="Q30" i="188"/>
  <c r="R23" i="188" s="1"/>
  <c r="G14" i="187"/>
  <c r="G15" i="187" s="1"/>
  <c r="H14" i="187"/>
  <c r="H15" i="187" s="1"/>
  <c r="Q52" i="188"/>
  <c r="R48" i="188" s="1"/>
  <c r="P52" i="188"/>
  <c r="F14" i="187"/>
  <c r="F15" i="187" s="1"/>
  <c r="P22" i="188"/>
  <c r="Q22" i="188"/>
  <c r="R14" i="188" s="1"/>
  <c r="D2" i="188"/>
  <c r="D14" i="187"/>
  <c r="P7" i="188"/>
  <c r="Q7" i="188"/>
  <c r="R5" i="188" s="1"/>
  <c r="Q47" i="188"/>
  <c r="R39" i="188" s="1"/>
  <c r="P47" i="188"/>
  <c r="L14" i="187"/>
  <c r="L15" i="187" s="1"/>
  <c r="P74" i="188"/>
  <c r="Q74" i="188"/>
  <c r="R67" i="188" s="1"/>
  <c r="M14" i="187"/>
  <c r="M15" i="187" s="1"/>
  <c r="E14" i="185"/>
  <c r="E15" i="185" s="1"/>
  <c r="Q14" i="186"/>
  <c r="R8" i="186" s="1"/>
  <c r="P14" i="186"/>
  <c r="P5" i="186"/>
  <c r="Q5" i="186"/>
  <c r="P47" i="186"/>
  <c r="Q47" i="186"/>
  <c r="N7" i="186"/>
  <c r="AE7" i="186"/>
  <c r="AF7" i="186"/>
  <c r="AG5" i="186" s="1"/>
  <c r="P67" i="186"/>
  <c r="Q67" i="186"/>
  <c r="P56" i="186"/>
  <c r="Q56" i="186"/>
  <c r="N24" i="186"/>
  <c r="Q24" i="186" s="1"/>
  <c r="R15" i="186" s="1"/>
  <c r="AF24" i="186"/>
  <c r="AG15" i="186" s="1"/>
  <c r="AE24" i="186"/>
  <c r="Q71" i="186"/>
  <c r="P71" i="186"/>
  <c r="Q34" i="186"/>
  <c r="P34" i="186"/>
  <c r="Q29" i="186"/>
  <c r="P29" i="186"/>
  <c r="P15" i="186"/>
  <c r="Q15" i="186"/>
  <c r="P29" i="184"/>
  <c r="Q29" i="184"/>
  <c r="N73" i="184"/>
  <c r="AF73" i="184"/>
  <c r="AE73" i="184"/>
  <c r="N24" i="184"/>
  <c r="AF24" i="184"/>
  <c r="M30" i="184"/>
  <c r="AE24" i="184"/>
  <c r="P28" i="184"/>
  <c r="Q28" i="184"/>
  <c r="P12" i="184"/>
  <c r="Q12" i="184"/>
  <c r="N71" i="184"/>
  <c r="AF71" i="184"/>
  <c r="AE71" i="184"/>
  <c r="P70" i="184"/>
  <c r="Q70" i="184"/>
  <c r="N22" i="184"/>
  <c r="AF22" i="184"/>
  <c r="AG15" i="184" s="1"/>
  <c r="AE22" i="184"/>
  <c r="N36" i="184"/>
  <c r="AE36" i="184"/>
  <c r="AF36" i="184"/>
  <c r="N8" i="184"/>
  <c r="M14" i="184"/>
  <c r="P20" i="184"/>
  <c r="AF32" i="184"/>
  <c r="AF60" i="184"/>
  <c r="AF54" i="184"/>
  <c r="AG50" i="184" s="1"/>
  <c r="AE54" i="184"/>
  <c r="AF56" i="184"/>
  <c r="AE56" i="184"/>
  <c r="Q60" i="184"/>
  <c r="P60" i="184"/>
  <c r="AF18" i="184"/>
  <c r="Z2" i="184"/>
  <c r="L6" i="183" s="1"/>
  <c r="AE6" i="184"/>
  <c r="AE16" i="184"/>
  <c r="AF37" i="184"/>
  <c r="M40" i="184"/>
  <c r="AE32" i="184"/>
  <c r="N43" i="184"/>
  <c r="N54" i="184"/>
  <c r="N56" i="184"/>
  <c r="AE60" i="184"/>
  <c r="Q65" i="184"/>
  <c r="P65" i="184"/>
  <c r="J18" i="183"/>
  <c r="N10" i="184"/>
  <c r="N31" i="184"/>
  <c r="AF33" i="184"/>
  <c r="AE33" i="184"/>
  <c r="N35" i="184"/>
  <c r="N50" i="184"/>
  <c r="AF63" i="184"/>
  <c r="AE63" i="184"/>
  <c r="Q67" i="184"/>
  <c r="P67" i="184"/>
  <c r="N78" i="184"/>
  <c r="N61" i="184"/>
  <c r="Q16" i="184"/>
  <c r="P16" i="184"/>
  <c r="AE37" i="184"/>
  <c r="AF43" i="184"/>
  <c r="N57" i="184"/>
  <c r="N59" i="184"/>
  <c r="AD2" i="184"/>
  <c r="N6" i="183" s="1"/>
  <c r="AF16" i="184"/>
  <c r="AF21" i="184"/>
  <c r="AE21" i="184"/>
  <c r="F6" i="183"/>
  <c r="E6" i="183"/>
  <c r="AF8" i="184"/>
  <c r="AE10" i="184"/>
  <c r="AF19" i="184"/>
  <c r="AE19" i="184"/>
  <c r="N21" i="184"/>
  <c r="Q25" i="184"/>
  <c r="P25" i="184"/>
  <c r="AF35" i="184"/>
  <c r="AE50" i="184"/>
  <c r="N68" i="184"/>
  <c r="Q74" i="184"/>
  <c r="P74" i="184"/>
  <c r="AE78" i="184"/>
  <c r="M7" i="184"/>
  <c r="N19" i="184"/>
  <c r="AE25" i="184"/>
  <c r="AE29" i="184"/>
  <c r="AE61" i="184"/>
  <c r="M69" i="184"/>
  <c r="AE76" i="184"/>
  <c r="N15" i="184"/>
  <c r="AF17" i="184"/>
  <c r="AE17" i="184"/>
  <c r="AF25" i="184"/>
  <c r="AF29" i="184"/>
  <c r="AE31" i="184"/>
  <c r="N38" i="184"/>
  <c r="Q44" i="184"/>
  <c r="P44" i="184"/>
  <c r="AE48" i="184"/>
  <c r="N66" i="184"/>
  <c r="AF76" i="184"/>
  <c r="AF44" i="184"/>
  <c r="AF46" i="184"/>
  <c r="AF57" i="184"/>
  <c r="AF59" i="184"/>
  <c r="AF74" i="184"/>
  <c r="AF12" i="184"/>
  <c r="AE12" i="184"/>
  <c r="N52" i="184"/>
  <c r="AE20" i="184"/>
  <c r="N33" i="184"/>
  <c r="AE39" i="184"/>
  <c r="AE41" i="184"/>
  <c r="N63" i="184"/>
  <c r="AE67" i="184"/>
  <c r="AE18" i="184"/>
  <c r="Q37" i="184"/>
  <c r="P37" i="184"/>
  <c r="AF39" i="184"/>
  <c r="AF41" i="184"/>
  <c r="N48" i="184"/>
  <c r="AF67" i="184"/>
  <c r="AF70" i="184"/>
  <c r="AE70" i="184"/>
  <c r="AF6" i="184"/>
  <c r="AE52" i="184"/>
  <c r="F1" i="184"/>
  <c r="AF28" i="184"/>
  <c r="AE28" i="184"/>
  <c r="M64" i="184"/>
  <c r="N55" i="184"/>
  <c r="AE74" i="184"/>
  <c r="M79" i="184"/>
  <c r="P5" i="184"/>
  <c r="P17" i="184"/>
  <c r="AF26" i="184"/>
  <c r="AE26" i="184"/>
  <c r="P34" i="184"/>
  <c r="M49" i="184"/>
  <c r="AF55" i="184"/>
  <c r="AF77" i="184"/>
  <c r="AE77" i="184"/>
  <c r="AE68" i="184"/>
  <c r="N77" i="184"/>
  <c r="Q32" i="184"/>
  <c r="AF45" i="184"/>
  <c r="AE45" i="184"/>
  <c r="AF47" i="184"/>
  <c r="AE47" i="184"/>
  <c r="Q51" i="184"/>
  <c r="P51" i="184"/>
  <c r="AF53" i="184"/>
  <c r="AF75" i="184"/>
  <c r="AE75" i="184"/>
  <c r="Q11" i="184"/>
  <c r="P11" i="184"/>
  <c r="AE38" i="184"/>
  <c r="N45" i="184"/>
  <c r="N47" i="184"/>
  <c r="AE51" i="184"/>
  <c r="AE66" i="184"/>
  <c r="P23" i="184"/>
  <c r="P42" i="184"/>
  <c r="P58" i="184"/>
  <c r="P72" i="184"/>
  <c r="P9" i="184"/>
  <c r="AD69" i="182"/>
  <c r="Z69" i="182"/>
  <c r="Y69" i="182"/>
  <c r="O69" i="182"/>
  <c r="K69" i="182"/>
  <c r="M13" i="181" s="1"/>
  <c r="V68" i="182"/>
  <c r="U68" i="182"/>
  <c r="O68" i="182"/>
  <c r="M68" i="182"/>
  <c r="K68" i="182"/>
  <c r="G68" i="182"/>
  <c r="V67" i="182"/>
  <c r="U67" i="182"/>
  <c r="O67" i="182"/>
  <c r="M67" i="182"/>
  <c r="AE67" i="182" s="1"/>
  <c r="K67" i="182"/>
  <c r="G67" i="182"/>
  <c r="AF66" i="182"/>
  <c r="AE66" i="182"/>
  <c r="X66" i="182"/>
  <c r="W66" i="182"/>
  <c r="V66" i="182"/>
  <c r="U66" i="182"/>
  <c r="O66" i="182"/>
  <c r="M66" i="182"/>
  <c r="N66" i="182" s="1"/>
  <c r="P66" i="182" s="1"/>
  <c r="K66" i="182"/>
  <c r="G66" i="182"/>
  <c r="V65" i="182"/>
  <c r="U65" i="182"/>
  <c r="O65" i="182"/>
  <c r="M65" i="182"/>
  <c r="K65" i="182"/>
  <c r="G65" i="182"/>
  <c r="V64" i="182"/>
  <c r="M64" i="182" s="1"/>
  <c r="N64" i="182" s="1"/>
  <c r="U64" i="182"/>
  <c r="O64" i="182"/>
  <c r="K64" i="182"/>
  <c r="G64" i="182"/>
  <c r="V63" i="182"/>
  <c r="U63" i="182"/>
  <c r="O63" i="182"/>
  <c r="N63" i="182"/>
  <c r="Q63" i="182" s="1"/>
  <c r="M63" i="182"/>
  <c r="AE63" i="182" s="1"/>
  <c r="K63" i="182"/>
  <c r="G63" i="182"/>
  <c r="X62" i="182"/>
  <c r="W62" i="182"/>
  <c r="V62" i="182"/>
  <c r="O62" i="182"/>
  <c r="M62" i="182"/>
  <c r="AF62" i="182" s="1"/>
  <c r="K62" i="182"/>
  <c r="G62" i="182"/>
  <c r="AD61" i="182"/>
  <c r="Z61" i="182"/>
  <c r="Y61" i="182"/>
  <c r="O61" i="182"/>
  <c r="K61" i="182"/>
  <c r="V60" i="182"/>
  <c r="U60" i="182"/>
  <c r="O60" i="182"/>
  <c r="M60" i="182"/>
  <c r="AF60" i="182" s="1"/>
  <c r="K60" i="182"/>
  <c r="G60" i="182"/>
  <c r="AF59" i="182"/>
  <c r="AE59" i="182"/>
  <c r="V59" i="182"/>
  <c r="U59" i="182"/>
  <c r="Q59" i="182"/>
  <c r="O59" i="182"/>
  <c r="M59" i="182"/>
  <c r="N59" i="182" s="1"/>
  <c r="P59" i="182" s="1"/>
  <c r="K59" i="182"/>
  <c r="G59" i="182"/>
  <c r="V58" i="182"/>
  <c r="U58" i="182"/>
  <c r="O58" i="182"/>
  <c r="M58" i="182"/>
  <c r="N58" i="182" s="1"/>
  <c r="K58" i="182"/>
  <c r="G58" i="182"/>
  <c r="AF57" i="182"/>
  <c r="AE57" i="182"/>
  <c r="V57" i="182"/>
  <c r="O57" i="182"/>
  <c r="M57" i="182"/>
  <c r="M61" i="182" s="1"/>
  <c r="N61" i="182" s="1"/>
  <c r="Q61" i="182" s="1"/>
  <c r="R57" i="182" s="1"/>
  <c r="K57" i="182"/>
  <c r="G57" i="182"/>
  <c r="AD56" i="182"/>
  <c r="I21" i="181" s="1"/>
  <c r="Z56" i="182"/>
  <c r="I19" i="181" s="1"/>
  <c r="Y56" i="182"/>
  <c r="I18" i="181" s="1"/>
  <c r="O56" i="182"/>
  <c r="K56" i="182"/>
  <c r="I13" i="181" s="1"/>
  <c r="V55" i="182"/>
  <c r="U55" i="182"/>
  <c r="O55" i="182"/>
  <c r="M55" i="182"/>
  <c r="AF55" i="182" s="1"/>
  <c r="K55" i="182"/>
  <c r="G55" i="182"/>
  <c r="V54" i="182"/>
  <c r="U54" i="182"/>
  <c r="O54" i="182"/>
  <c r="M54" i="182"/>
  <c r="N54" i="182" s="1"/>
  <c r="K54" i="182"/>
  <c r="G54" i="182"/>
  <c r="V53" i="182"/>
  <c r="U53" i="182"/>
  <c r="O53" i="182"/>
  <c r="M53" i="182"/>
  <c r="N53" i="182" s="1"/>
  <c r="K53" i="182"/>
  <c r="G53" i="182"/>
  <c r="AF52" i="182"/>
  <c r="AE52" i="182"/>
  <c r="V52" i="182"/>
  <c r="U52" i="182"/>
  <c r="Q52" i="182"/>
  <c r="P52" i="182"/>
  <c r="O52" i="182"/>
  <c r="N52" i="182"/>
  <c r="M52" i="182"/>
  <c r="K52" i="182"/>
  <c r="G52" i="182"/>
  <c r="V51" i="182"/>
  <c r="U51" i="182"/>
  <c r="O51" i="182"/>
  <c r="M51" i="182"/>
  <c r="AF51" i="182" s="1"/>
  <c r="K51" i="182"/>
  <c r="G51" i="182"/>
  <c r="AF50" i="182"/>
  <c r="AE50" i="182"/>
  <c r="V50" i="182"/>
  <c r="U50" i="182"/>
  <c r="O50" i="182"/>
  <c r="M50" i="182"/>
  <c r="N50" i="182" s="1"/>
  <c r="P50" i="182" s="1"/>
  <c r="K50" i="182"/>
  <c r="G50" i="182"/>
  <c r="V49" i="182"/>
  <c r="U49" i="182"/>
  <c r="O49" i="182"/>
  <c r="M49" i="182"/>
  <c r="K49" i="182"/>
  <c r="G49" i="182"/>
  <c r="AF48" i="182"/>
  <c r="AE48" i="182"/>
  <c r="V48" i="182"/>
  <c r="O48" i="182"/>
  <c r="M48" i="182"/>
  <c r="N48" i="182" s="1"/>
  <c r="K48" i="182"/>
  <c r="G48" i="182"/>
  <c r="AD47" i="182"/>
  <c r="H21" i="181" s="1"/>
  <c r="Z47" i="182"/>
  <c r="H19" i="181" s="1"/>
  <c r="Y47" i="182"/>
  <c r="H18" i="181" s="1"/>
  <c r="O47" i="182"/>
  <c r="M47" i="182"/>
  <c r="K47" i="182"/>
  <c r="H13" i="181" s="1"/>
  <c r="V46" i="182"/>
  <c r="U46" i="182"/>
  <c r="O46" i="182"/>
  <c r="M46" i="182"/>
  <c r="AF46" i="182" s="1"/>
  <c r="K46" i="182"/>
  <c r="G46" i="182"/>
  <c r="V45" i="182"/>
  <c r="U45" i="182"/>
  <c r="O45" i="182"/>
  <c r="M45" i="182"/>
  <c r="K45" i="182"/>
  <c r="G45" i="182"/>
  <c r="V44" i="182"/>
  <c r="U44" i="182"/>
  <c r="O44" i="182"/>
  <c r="M44" i="182"/>
  <c r="N44" i="182" s="1"/>
  <c r="K44" i="182"/>
  <c r="G44" i="182"/>
  <c r="AF43" i="182"/>
  <c r="AE43" i="182"/>
  <c r="V43" i="182"/>
  <c r="O43" i="182"/>
  <c r="M43" i="182"/>
  <c r="N43" i="182" s="1"/>
  <c r="P43" i="182" s="1"/>
  <c r="K43" i="182"/>
  <c r="G43" i="182"/>
  <c r="AD42" i="182"/>
  <c r="Z42" i="182"/>
  <c r="L19" i="181" s="1"/>
  <c r="Y42" i="182"/>
  <c r="O42" i="182"/>
  <c r="K42" i="182"/>
  <c r="V41" i="182"/>
  <c r="M41" i="182" s="1"/>
  <c r="U41" i="182"/>
  <c r="O41" i="182"/>
  <c r="K41" i="182"/>
  <c r="G41" i="182"/>
  <c r="X40" i="182"/>
  <c r="W40" i="182"/>
  <c r="V40" i="182"/>
  <c r="U40" i="182"/>
  <c r="O40" i="182"/>
  <c r="M40" i="182"/>
  <c r="K40" i="182"/>
  <c r="G40" i="182"/>
  <c r="V39" i="182"/>
  <c r="U39" i="182"/>
  <c r="O39" i="182"/>
  <c r="M39" i="182"/>
  <c r="AF39" i="182" s="1"/>
  <c r="K39" i="182"/>
  <c r="G39" i="182"/>
  <c r="V38" i="182"/>
  <c r="M38" i="182" s="1"/>
  <c r="U38" i="182"/>
  <c r="O38" i="182"/>
  <c r="K38" i="182"/>
  <c r="G38" i="182"/>
  <c r="V37" i="182"/>
  <c r="U37" i="182"/>
  <c r="O37" i="182"/>
  <c r="M37" i="182"/>
  <c r="N37" i="182" s="1"/>
  <c r="K37" i="182"/>
  <c r="G37" i="182"/>
  <c r="X36" i="182"/>
  <c r="W36" i="182"/>
  <c r="V36" i="182"/>
  <c r="M36" i="182" s="1"/>
  <c r="N36" i="182" s="1"/>
  <c r="O36" i="182"/>
  <c r="K36" i="182"/>
  <c r="G36" i="182"/>
  <c r="AD35" i="182"/>
  <c r="K21" i="181" s="1"/>
  <c r="Z35" i="182"/>
  <c r="K19" i="181" s="1"/>
  <c r="Y35" i="182"/>
  <c r="O35" i="182"/>
  <c r="K35" i="182"/>
  <c r="AF34" i="182"/>
  <c r="AE34" i="182"/>
  <c r="V34" i="182"/>
  <c r="U34" i="182"/>
  <c r="O34" i="182"/>
  <c r="M34" i="182"/>
  <c r="N34" i="182" s="1"/>
  <c r="K34" i="182"/>
  <c r="G34" i="182"/>
  <c r="X33" i="182"/>
  <c r="W33" i="182"/>
  <c r="V33" i="182"/>
  <c r="M33" i="182" s="1"/>
  <c r="U33" i="182"/>
  <c r="O33" i="182"/>
  <c r="K33" i="182"/>
  <c r="G33" i="182"/>
  <c r="V32" i="182"/>
  <c r="U32" i="182"/>
  <c r="O32" i="182"/>
  <c r="M32" i="182"/>
  <c r="N32" i="182" s="1"/>
  <c r="K32" i="182"/>
  <c r="G32" i="182"/>
  <c r="AF31" i="182"/>
  <c r="AE31" i="182"/>
  <c r="V31" i="182"/>
  <c r="U31" i="182"/>
  <c r="Q31" i="182"/>
  <c r="P31" i="182"/>
  <c r="O31" i="182"/>
  <c r="N31" i="182"/>
  <c r="M31" i="182"/>
  <c r="K31" i="182"/>
  <c r="G31" i="182"/>
  <c r="V30" i="182"/>
  <c r="U30" i="182"/>
  <c r="O30" i="182"/>
  <c r="M30" i="182"/>
  <c r="AF30" i="182" s="1"/>
  <c r="K30" i="182"/>
  <c r="G30" i="182"/>
  <c r="AF29" i="182"/>
  <c r="AE29" i="182"/>
  <c r="X29" i="182"/>
  <c r="W29" i="182"/>
  <c r="V29" i="182"/>
  <c r="O29" i="182"/>
  <c r="M29" i="182"/>
  <c r="N29" i="182" s="1"/>
  <c r="K29" i="182"/>
  <c r="G29" i="182"/>
  <c r="AD28" i="182"/>
  <c r="G21" i="181" s="1"/>
  <c r="Z28" i="182"/>
  <c r="G19" i="181" s="1"/>
  <c r="Y28" i="182"/>
  <c r="O28" i="182"/>
  <c r="K28" i="182"/>
  <c r="G13" i="181" s="1"/>
  <c r="V27" i="182"/>
  <c r="U27" i="182"/>
  <c r="O27" i="182"/>
  <c r="M27" i="182"/>
  <c r="AF27" i="182" s="1"/>
  <c r="K27" i="182"/>
  <c r="G27" i="182"/>
  <c r="V26" i="182"/>
  <c r="M26" i="182" s="1"/>
  <c r="U26" i="182"/>
  <c r="O26" i="182"/>
  <c r="K26" i="182"/>
  <c r="G26" i="182"/>
  <c r="V25" i="182"/>
  <c r="U25" i="182"/>
  <c r="O25" i="182"/>
  <c r="M25" i="182"/>
  <c r="N25" i="182" s="1"/>
  <c r="K25" i="182"/>
  <c r="G25" i="182"/>
  <c r="AF24" i="182"/>
  <c r="AE24" i="182"/>
  <c r="V24" i="182"/>
  <c r="U24" i="182"/>
  <c r="Q24" i="182"/>
  <c r="P24" i="182"/>
  <c r="O24" i="182"/>
  <c r="N24" i="182"/>
  <c r="M24" i="182"/>
  <c r="K24" i="182"/>
  <c r="G24" i="182"/>
  <c r="V23" i="182"/>
  <c r="U23" i="182"/>
  <c r="O23" i="182"/>
  <c r="M23" i="182"/>
  <c r="AF23" i="182" s="1"/>
  <c r="K23" i="182"/>
  <c r="G23" i="182"/>
  <c r="V22" i="182"/>
  <c r="M22" i="182" s="1"/>
  <c r="O22" i="182"/>
  <c r="K22" i="182"/>
  <c r="G22" i="182"/>
  <c r="AD21" i="182"/>
  <c r="Z21" i="182"/>
  <c r="F19" i="181" s="1"/>
  <c r="Y21" i="182"/>
  <c r="O21" i="182"/>
  <c r="K21" i="182"/>
  <c r="F13" i="181" s="1"/>
  <c r="AF20" i="182"/>
  <c r="AE20" i="182"/>
  <c r="V20" i="182"/>
  <c r="U20" i="182"/>
  <c r="O20" i="182"/>
  <c r="M20" i="182"/>
  <c r="N20" i="182" s="1"/>
  <c r="K20" i="182"/>
  <c r="G20" i="182"/>
  <c r="V19" i="182"/>
  <c r="U19" i="182"/>
  <c r="O19" i="182"/>
  <c r="M19" i="182"/>
  <c r="K19" i="182"/>
  <c r="G19" i="182"/>
  <c r="V18" i="182"/>
  <c r="U18" i="182"/>
  <c r="O18" i="182"/>
  <c r="M18" i="182"/>
  <c r="AF18" i="182" s="1"/>
  <c r="K18" i="182"/>
  <c r="G18" i="182"/>
  <c r="V17" i="182"/>
  <c r="U17" i="182"/>
  <c r="O17" i="182"/>
  <c r="M17" i="182"/>
  <c r="AF17" i="182" s="1"/>
  <c r="K17" i="182"/>
  <c r="G17" i="182"/>
  <c r="V16" i="182"/>
  <c r="U16" i="182"/>
  <c r="O16" i="182"/>
  <c r="M16" i="182"/>
  <c r="AE16" i="182" s="1"/>
  <c r="K16" i="182"/>
  <c r="G16" i="182"/>
  <c r="AF15" i="182"/>
  <c r="AE15" i="182"/>
  <c r="V15" i="182"/>
  <c r="U15" i="182"/>
  <c r="Q15" i="182"/>
  <c r="P15" i="182"/>
  <c r="O15" i="182"/>
  <c r="N15" i="182"/>
  <c r="M15" i="182"/>
  <c r="K15" i="182"/>
  <c r="G15" i="182"/>
  <c r="X14" i="182"/>
  <c r="W14" i="182"/>
  <c r="V14" i="182"/>
  <c r="O14" i="182"/>
  <c r="M14" i="182"/>
  <c r="N14" i="182" s="1"/>
  <c r="K14" i="182"/>
  <c r="G14" i="182"/>
  <c r="AD13" i="182"/>
  <c r="Z13" i="182"/>
  <c r="Y13" i="182"/>
  <c r="O13" i="182"/>
  <c r="K13" i="182"/>
  <c r="V12" i="182"/>
  <c r="U12" i="182"/>
  <c r="O12" i="182"/>
  <c r="M12" i="182"/>
  <c r="K12" i="182"/>
  <c r="G12" i="182"/>
  <c r="X11" i="182"/>
  <c r="W11" i="182"/>
  <c r="V11" i="182"/>
  <c r="U11" i="182"/>
  <c r="O11" i="182"/>
  <c r="M11" i="182"/>
  <c r="AF11" i="182" s="1"/>
  <c r="K11" i="182"/>
  <c r="G11" i="182"/>
  <c r="F1" i="182" s="1"/>
  <c r="AF10" i="182"/>
  <c r="AE10" i="182"/>
  <c r="V10" i="182"/>
  <c r="U10" i="182"/>
  <c r="Q10" i="182"/>
  <c r="P10" i="182"/>
  <c r="O10" i="182"/>
  <c r="N10" i="182"/>
  <c r="M10" i="182"/>
  <c r="K10" i="182"/>
  <c r="G10" i="182"/>
  <c r="V9" i="182"/>
  <c r="U9" i="182"/>
  <c r="O9" i="182"/>
  <c r="M9" i="182"/>
  <c r="K9" i="182"/>
  <c r="G9" i="182"/>
  <c r="AF8" i="182"/>
  <c r="AE8" i="182"/>
  <c r="X8" i="182"/>
  <c r="W8" i="182"/>
  <c r="V8" i="182"/>
  <c r="O8" i="182"/>
  <c r="M8" i="182"/>
  <c r="N8" i="182" s="1"/>
  <c r="K8" i="182"/>
  <c r="G8" i="182"/>
  <c r="AD7" i="182"/>
  <c r="AD2" i="182" s="1"/>
  <c r="N6" i="181" s="1"/>
  <c r="Z7" i="182"/>
  <c r="Y7" i="182"/>
  <c r="O7" i="182"/>
  <c r="M7" i="182"/>
  <c r="N7" i="182" s="1"/>
  <c r="K7" i="182"/>
  <c r="D13" i="181" s="1"/>
  <c r="V6" i="182"/>
  <c r="U6" i="182"/>
  <c r="O6" i="182"/>
  <c r="M6" i="182"/>
  <c r="AF6" i="182" s="1"/>
  <c r="K6" i="182"/>
  <c r="G6" i="182"/>
  <c r="AF5" i="182"/>
  <c r="AE5" i="182"/>
  <c r="V5" i="182"/>
  <c r="O5" i="182"/>
  <c r="N5" i="182"/>
  <c r="Q5" i="182" s="1"/>
  <c r="M5" i="182"/>
  <c r="K5" i="182"/>
  <c r="G5" i="182"/>
  <c r="H2" i="182"/>
  <c r="H1" i="182"/>
  <c r="D1" i="182"/>
  <c r="F3" i="181" s="1"/>
  <c r="M22" i="181"/>
  <c r="L22" i="181"/>
  <c r="K22" i="181"/>
  <c r="J22" i="181"/>
  <c r="I22" i="181"/>
  <c r="H22" i="181"/>
  <c r="G22" i="181"/>
  <c r="F22" i="181"/>
  <c r="E22" i="181"/>
  <c r="D22" i="181"/>
  <c r="M21" i="181"/>
  <c r="L21" i="181"/>
  <c r="J21" i="181"/>
  <c r="F21" i="181"/>
  <c r="E21" i="181"/>
  <c r="D21" i="181"/>
  <c r="M20" i="181"/>
  <c r="L20" i="181"/>
  <c r="K20" i="181"/>
  <c r="J20" i="181"/>
  <c r="I20" i="181"/>
  <c r="H20" i="181"/>
  <c r="G20" i="181"/>
  <c r="F20" i="181"/>
  <c r="E20" i="181"/>
  <c r="D20" i="181"/>
  <c r="M19" i="181"/>
  <c r="J19" i="181"/>
  <c r="E19" i="181"/>
  <c r="M18" i="181"/>
  <c r="L18" i="181"/>
  <c r="K18" i="181"/>
  <c r="J18" i="181"/>
  <c r="G18" i="181"/>
  <c r="F18" i="181"/>
  <c r="E18" i="181"/>
  <c r="M17" i="181"/>
  <c r="L17" i="181"/>
  <c r="K17" i="181"/>
  <c r="J17" i="181"/>
  <c r="I17" i="181"/>
  <c r="H17" i="181"/>
  <c r="G17" i="181"/>
  <c r="F17" i="181"/>
  <c r="E17" i="181"/>
  <c r="D17" i="181"/>
  <c r="M16" i="181"/>
  <c r="L16" i="181"/>
  <c r="K16" i="181"/>
  <c r="J16" i="181"/>
  <c r="I16" i="181"/>
  <c r="H16" i="181"/>
  <c r="G16" i="181"/>
  <c r="F16" i="181"/>
  <c r="E16" i="181"/>
  <c r="D16" i="181"/>
  <c r="J14" i="181"/>
  <c r="J15" i="181" s="1"/>
  <c r="L13" i="181"/>
  <c r="K13" i="181"/>
  <c r="J13" i="181"/>
  <c r="E13" i="181"/>
  <c r="M6" i="181"/>
  <c r="C3" i="181"/>
  <c r="G8" i="189" l="1"/>
  <c r="F8" i="189"/>
  <c r="E8" i="189"/>
  <c r="K15" i="187"/>
  <c r="I8" i="187" s="1"/>
  <c r="I7" i="187"/>
  <c r="D15" i="187"/>
  <c r="E7" i="187"/>
  <c r="G7" i="187"/>
  <c r="F7" i="187"/>
  <c r="F14" i="185"/>
  <c r="F15" i="185" s="1"/>
  <c r="D14" i="185"/>
  <c r="P7" i="186"/>
  <c r="Q7" i="186"/>
  <c r="R5" i="186" s="1"/>
  <c r="D2" i="186"/>
  <c r="P24" i="186"/>
  <c r="P78" i="184"/>
  <c r="Q78" i="184"/>
  <c r="F14" i="183"/>
  <c r="F15" i="183" s="1"/>
  <c r="Q22" i="184"/>
  <c r="R15" i="184" s="1"/>
  <c r="P22" i="184"/>
  <c r="Q55" i="184"/>
  <c r="P55" i="184"/>
  <c r="Q35" i="184"/>
  <c r="P35" i="184"/>
  <c r="Q52" i="184"/>
  <c r="P52" i="184"/>
  <c r="F2" i="184"/>
  <c r="I3" i="183"/>
  <c r="AE30" i="184"/>
  <c r="N30" i="184"/>
  <c r="AF30" i="184"/>
  <c r="AG23" i="184" s="1"/>
  <c r="P59" i="184"/>
  <c r="Q59" i="184"/>
  <c r="P57" i="184"/>
  <c r="Q57" i="184"/>
  <c r="AF14" i="184"/>
  <c r="AG8" i="184" s="1"/>
  <c r="AE14" i="184"/>
  <c r="N14" i="184"/>
  <c r="P24" i="184"/>
  <c r="Q24" i="184"/>
  <c r="AF7" i="184"/>
  <c r="AG5" i="184" s="1"/>
  <c r="AE7" i="184"/>
  <c r="N7" i="184"/>
  <c r="Q48" i="184"/>
  <c r="P48" i="184"/>
  <c r="Q56" i="184"/>
  <c r="P56" i="184"/>
  <c r="Q8" i="184"/>
  <c r="P8" i="184"/>
  <c r="Q63" i="184"/>
  <c r="P63" i="184"/>
  <c r="Q15" i="184"/>
  <c r="P15" i="184"/>
  <c r="Q38" i="184"/>
  <c r="P38" i="184"/>
  <c r="P19" i="184"/>
  <c r="Q19" i="184"/>
  <c r="Q47" i="184"/>
  <c r="P47" i="184"/>
  <c r="AF49" i="184"/>
  <c r="AG41" i="184" s="1"/>
  <c r="AE49" i="184"/>
  <c r="N49" i="184"/>
  <c r="Q68" i="184"/>
  <c r="P68" i="184"/>
  <c r="Q43" i="184"/>
  <c r="P43" i="184"/>
  <c r="P73" i="184"/>
  <c r="Q73" i="184"/>
  <c r="Q21" i="184"/>
  <c r="P21" i="184"/>
  <c r="P50" i="184"/>
  <c r="Q50" i="184"/>
  <c r="P31" i="184"/>
  <c r="Q31" i="184"/>
  <c r="Q66" i="184"/>
  <c r="P66" i="184"/>
  <c r="P45" i="184"/>
  <c r="Q45" i="184"/>
  <c r="P36" i="184"/>
  <c r="Q36" i="184"/>
  <c r="AF79" i="184"/>
  <c r="AG70" i="184" s="1"/>
  <c r="AE79" i="184"/>
  <c r="N79" i="184"/>
  <c r="P33" i="184"/>
  <c r="Q33" i="184"/>
  <c r="AE64" i="184"/>
  <c r="N64" i="184"/>
  <c r="AF64" i="184"/>
  <c r="AG55" i="184" s="1"/>
  <c r="P71" i="184"/>
  <c r="Q71" i="184"/>
  <c r="N69" i="184"/>
  <c r="AE69" i="184"/>
  <c r="AF69" i="184"/>
  <c r="AG65" i="184" s="1"/>
  <c r="P10" i="184"/>
  <c r="Q10" i="184"/>
  <c r="Q77" i="184"/>
  <c r="P77" i="184"/>
  <c r="P54" i="184"/>
  <c r="Q54" i="184"/>
  <c r="R50" i="184" s="1"/>
  <c r="H14" i="183"/>
  <c r="H15" i="183" s="1"/>
  <c r="P61" i="184"/>
  <c r="Q61" i="184"/>
  <c r="AF40" i="184"/>
  <c r="AG31" i="184" s="1"/>
  <c r="AE40" i="184"/>
  <c r="N40" i="184"/>
  <c r="Q14" i="182"/>
  <c r="P14" i="182"/>
  <c r="AF26" i="182"/>
  <c r="AE26" i="182"/>
  <c r="N26" i="182"/>
  <c r="AF38" i="182"/>
  <c r="AE38" i="182"/>
  <c r="N38" i="182"/>
  <c r="P54" i="182"/>
  <c r="Q54" i="182"/>
  <c r="D14" i="181"/>
  <c r="Q7" i="182"/>
  <c r="R5" i="182" s="1"/>
  <c r="P7" i="182"/>
  <c r="P58" i="182"/>
  <c r="Q58" i="182"/>
  <c r="AE33" i="182"/>
  <c r="AF33" i="182"/>
  <c r="N33" i="182"/>
  <c r="I3" i="181"/>
  <c r="F2" i="182"/>
  <c r="Q64" i="182"/>
  <c r="P64" i="182"/>
  <c r="P29" i="182"/>
  <c r="Q29" i="182"/>
  <c r="AF68" i="182"/>
  <c r="AE68" i="182"/>
  <c r="AF49" i="182"/>
  <c r="AE49" i="182"/>
  <c r="AE64" i="182"/>
  <c r="N41" i="182"/>
  <c r="AF41" i="182"/>
  <c r="Q32" i="182"/>
  <c r="P32" i="182"/>
  <c r="AE36" i="182"/>
  <c r="AF65" i="182"/>
  <c r="AE65" i="182"/>
  <c r="AF36" i="182"/>
  <c r="N65" i="182"/>
  <c r="AF54" i="182"/>
  <c r="AE54" i="182"/>
  <c r="AE41" i="182"/>
  <c r="AF47" i="182"/>
  <c r="AG43" i="182" s="1"/>
  <c r="AE47" i="182"/>
  <c r="AF7" i="182"/>
  <c r="AG5" i="182" s="1"/>
  <c r="AE7" i="182"/>
  <c r="AF9" i="182"/>
  <c r="AE9" i="182"/>
  <c r="N9" i="182"/>
  <c r="AE14" i="182"/>
  <c r="AF14" i="182"/>
  <c r="M21" i="182"/>
  <c r="P34" i="182"/>
  <c r="Q34" i="182"/>
  <c r="M42" i="182"/>
  <c r="D18" i="181"/>
  <c r="Y2" i="182"/>
  <c r="K6" i="181" s="1"/>
  <c r="AF45" i="182"/>
  <c r="AE45" i="182"/>
  <c r="Z2" i="182"/>
  <c r="L6" i="181" s="1"/>
  <c r="D19" i="181"/>
  <c r="N22" i="182"/>
  <c r="AF22" i="182"/>
  <c r="P5" i="182"/>
  <c r="Q25" i="182"/>
  <c r="P25" i="182"/>
  <c r="M56" i="182"/>
  <c r="P61" i="182"/>
  <c r="P20" i="182"/>
  <c r="Q20" i="182"/>
  <c r="Q53" i="182"/>
  <c r="P53" i="182"/>
  <c r="P8" i="182"/>
  <c r="Q8" i="182"/>
  <c r="Q43" i="182"/>
  <c r="Q36" i="182"/>
  <c r="P36" i="182"/>
  <c r="AF64" i="182"/>
  <c r="AF12" i="182"/>
  <c r="AE12" i="182"/>
  <c r="N12" i="182"/>
  <c r="AF40" i="182"/>
  <c r="AE40" i="182"/>
  <c r="N40" i="182"/>
  <c r="P48" i="182"/>
  <c r="Q48" i="182"/>
  <c r="P63" i="182"/>
  <c r="Q66" i="182"/>
  <c r="AE17" i="182"/>
  <c r="AF19" i="182"/>
  <c r="AE19" i="182"/>
  <c r="N19" i="182"/>
  <c r="Q50" i="182"/>
  <c r="N68" i="182"/>
  <c r="I6" i="181"/>
  <c r="AE61" i="182"/>
  <c r="N49" i="182"/>
  <c r="G6" i="181"/>
  <c r="F6" i="181"/>
  <c r="E6" i="181"/>
  <c r="Q44" i="182"/>
  <c r="P44" i="182"/>
  <c r="N47" i="182"/>
  <c r="Q37" i="182"/>
  <c r="P37" i="182"/>
  <c r="N45" i="182"/>
  <c r="AF58" i="182"/>
  <c r="AE58" i="182"/>
  <c r="N17" i="182"/>
  <c r="AE22" i="182"/>
  <c r="M28" i="182"/>
  <c r="AF61" i="182"/>
  <c r="AG57" i="182" s="1"/>
  <c r="M35" i="182"/>
  <c r="AF63" i="182"/>
  <c r="N6" i="182"/>
  <c r="M13" i="182"/>
  <c r="N18" i="182"/>
  <c r="N27" i="182"/>
  <c r="N39" i="182"/>
  <c r="N46" i="182"/>
  <c r="N55" i="182"/>
  <c r="N16" i="182"/>
  <c r="N67" i="182"/>
  <c r="N23" i="182"/>
  <c r="N30" i="182"/>
  <c r="N51" i="182"/>
  <c r="N60" i="182"/>
  <c r="AE23" i="182"/>
  <c r="N57" i="182"/>
  <c r="AF16" i="182"/>
  <c r="AF25" i="182"/>
  <c r="AF32" i="182"/>
  <c r="AF37" i="182"/>
  <c r="AF44" i="182"/>
  <c r="AF53" i="182"/>
  <c r="AF67" i="182"/>
  <c r="AE30" i="182"/>
  <c r="AE51" i="182"/>
  <c r="AE60" i="182"/>
  <c r="AE25" i="182"/>
  <c r="AE32" i="182"/>
  <c r="AE37" i="182"/>
  <c r="AE44" i="182"/>
  <c r="AE53" i="182"/>
  <c r="AE6" i="182"/>
  <c r="AE11" i="182"/>
  <c r="AE18" i="182"/>
  <c r="AE27" i="182"/>
  <c r="AE39" i="182"/>
  <c r="AE46" i="182"/>
  <c r="AE55" i="182"/>
  <c r="AE62" i="182"/>
  <c r="N11" i="182"/>
  <c r="N62" i="182"/>
  <c r="M69" i="182"/>
  <c r="AD68" i="180"/>
  <c r="Z68" i="180"/>
  <c r="Y68" i="180"/>
  <c r="O68" i="180"/>
  <c r="N68" i="180"/>
  <c r="M14" i="179" s="1"/>
  <c r="M15" i="179" s="1"/>
  <c r="M68" i="180"/>
  <c r="AF68" i="180" s="1"/>
  <c r="AG62" i="180" s="1"/>
  <c r="K68" i="180"/>
  <c r="AF67" i="180"/>
  <c r="AE67" i="180"/>
  <c r="V67" i="180"/>
  <c r="U67" i="180"/>
  <c r="Q67" i="180"/>
  <c r="O67" i="180"/>
  <c r="N67" i="180"/>
  <c r="P67" i="180" s="1"/>
  <c r="M67" i="180"/>
  <c r="K67" i="180"/>
  <c r="G67" i="180"/>
  <c r="AF66" i="180"/>
  <c r="AE66" i="180"/>
  <c r="X66" i="180"/>
  <c r="W66" i="180"/>
  <c r="V66" i="180"/>
  <c r="U66" i="180"/>
  <c r="Q66" i="180"/>
  <c r="P66" i="180"/>
  <c r="O66" i="180"/>
  <c r="N66" i="180"/>
  <c r="M66" i="180"/>
  <c r="K66" i="180"/>
  <c r="G66" i="180"/>
  <c r="AF65" i="180"/>
  <c r="AE65" i="180"/>
  <c r="V65" i="180"/>
  <c r="U65" i="180"/>
  <c r="Q65" i="180"/>
  <c r="O65" i="180"/>
  <c r="N65" i="180"/>
  <c r="P65" i="180" s="1"/>
  <c r="M65" i="180"/>
  <c r="K65" i="180"/>
  <c r="G65" i="180"/>
  <c r="AF64" i="180"/>
  <c r="AE64" i="180"/>
  <c r="V64" i="180"/>
  <c r="U64" i="180"/>
  <c r="Q64" i="180"/>
  <c r="P64" i="180"/>
  <c r="O64" i="180"/>
  <c r="N64" i="180"/>
  <c r="M64" i="180"/>
  <c r="K64" i="180"/>
  <c r="G64" i="180"/>
  <c r="AF63" i="180"/>
  <c r="AE63" i="180"/>
  <c r="V63" i="180"/>
  <c r="U63" i="180"/>
  <c r="O63" i="180"/>
  <c r="M63" i="180"/>
  <c r="N63" i="180" s="1"/>
  <c r="K63" i="180"/>
  <c r="G63" i="180"/>
  <c r="AF62" i="180"/>
  <c r="AE62" i="180"/>
  <c r="X62" i="180"/>
  <c r="W62" i="180"/>
  <c r="V62" i="180"/>
  <c r="Q62" i="180"/>
  <c r="O62" i="180"/>
  <c r="N62" i="180"/>
  <c r="P62" i="180" s="1"/>
  <c r="M62" i="180"/>
  <c r="K62" i="180"/>
  <c r="G62" i="180"/>
  <c r="AF61" i="180"/>
  <c r="AG57" i="180" s="1"/>
  <c r="AD61" i="180"/>
  <c r="Z61" i="180"/>
  <c r="Y61" i="180"/>
  <c r="O61" i="180"/>
  <c r="M61" i="180"/>
  <c r="N61" i="180" s="1"/>
  <c r="K61" i="180"/>
  <c r="AF60" i="180"/>
  <c r="AE60" i="180"/>
  <c r="V60" i="180"/>
  <c r="U60" i="180"/>
  <c r="O60" i="180"/>
  <c r="M60" i="180"/>
  <c r="N60" i="180" s="1"/>
  <c r="K60" i="180"/>
  <c r="G60" i="180"/>
  <c r="AF59" i="180"/>
  <c r="AE59" i="180"/>
  <c r="V59" i="180"/>
  <c r="U59" i="180"/>
  <c r="O59" i="180"/>
  <c r="N59" i="180"/>
  <c r="Q59" i="180" s="1"/>
  <c r="M59" i="180"/>
  <c r="K59" i="180"/>
  <c r="G59" i="180"/>
  <c r="AF58" i="180"/>
  <c r="AE58" i="180"/>
  <c r="V58" i="180"/>
  <c r="U58" i="180"/>
  <c r="O58" i="180"/>
  <c r="M58" i="180"/>
  <c r="N58" i="180" s="1"/>
  <c r="K58" i="180"/>
  <c r="G58" i="180"/>
  <c r="AF57" i="180"/>
  <c r="AE57" i="180"/>
  <c r="V57" i="180"/>
  <c r="O57" i="180"/>
  <c r="M57" i="180"/>
  <c r="N57" i="180" s="1"/>
  <c r="K57" i="180"/>
  <c r="G57" i="180"/>
  <c r="AD56" i="180"/>
  <c r="Z56" i="180"/>
  <c r="Y56" i="180"/>
  <c r="O56" i="180"/>
  <c r="K56" i="180"/>
  <c r="V55" i="180"/>
  <c r="M55" i="180" s="1"/>
  <c r="U55" i="180"/>
  <c r="O55" i="180"/>
  <c r="K55" i="180"/>
  <c r="G55" i="180"/>
  <c r="AF54" i="180"/>
  <c r="AE54" i="180"/>
  <c r="V54" i="180"/>
  <c r="U54" i="180"/>
  <c r="Q54" i="180"/>
  <c r="P54" i="180"/>
  <c r="O54" i="180"/>
  <c r="N54" i="180"/>
  <c r="M54" i="180"/>
  <c r="K54" i="180"/>
  <c r="G54" i="180"/>
  <c r="AF53" i="180"/>
  <c r="AE53" i="180"/>
  <c r="V53" i="180"/>
  <c r="U53" i="180"/>
  <c r="Q53" i="180"/>
  <c r="P53" i="180"/>
  <c r="O53" i="180"/>
  <c r="N53" i="180"/>
  <c r="M53" i="180"/>
  <c r="K53" i="180"/>
  <c r="G53" i="180"/>
  <c r="AF52" i="180"/>
  <c r="AE52" i="180"/>
  <c r="V52" i="180"/>
  <c r="U52" i="180"/>
  <c r="O52" i="180"/>
  <c r="N52" i="180"/>
  <c r="Q52" i="180" s="1"/>
  <c r="M52" i="180"/>
  <c r="K52" i="180"/>
  <c r="G52" i="180"/>
  <c r="AF51" i="180"/>
  <c r="AE51" i="180"/>
  <c r="V51" i="180"/>
  <c r="U51" i="180"/>
  <c r="Q51" i="180"/>
  <c r="P51" i="180"/>
  <c r="O51" i="180"/>
  <c r="N51" i="180"/>
  <c r="M51" i="180"/>
  <c r="K51" i="180"/>
  <c r="G51" i="180"/>
  <c r="AF50" i="180"/>
  <c r="AE50" i="180"/>
  <c r="V50" i="180"/>
  <c r="U50" i="180"/>
  <c r="O50" i="180"/>
  <c r="N50" i="180"/>
  <c r="Q50" i="180" s="1"/>
  <c r="M50" i="180"/>
  <c r="K50" i="180"/>
  <c r="G50" i="180"/>
  <c r="V49" i="180"/>
  <c r="U49" i="180"/>
  <c r="O49" i="180"/>
  <c r="M49" i="180"/>
  <c r="AE49" i="180" s="1"/>
  <c r="K49" i="180"/>
  <c r="G49" i="180"/>
  <c r="V48" i="180"/>
  <c r="O48" i="180"/>
  <c r="M48" i="180"/>
  <c r="AE48" i="180" s="1"/>
  <c r="K48" i="180"/>
  <c r="G48" i="180"/>
  <c r="AF47" i="180"/>
  <c r="AG43" i="180" s="1"/>
  <c r="AD47" i="180"/>
  <c r="Z47" i="180"/>
  <c r="Y47" i="180"/>
  <c r="O47" i="180"/>
  <c r="M47" i="180"/>
  <c r="N47" i="180" s="1"/>
  <c r="K47" i="180"/>
  <c r="AF46" i="180"/>
  <c r="AE46" i="180"/>
  <c r="V46" i="180"/>
  <c r="U46" i="180"/>
  <c r="O46" i="180"/>
  <c r="N46" i="180"/>
  <c r="Q46" i="180" s="1"/>
  <c r="M46" i="180"/>
  <c r="K46" i="180"/>
  <c r="G46" i="180"/>
  <c r="AF45" i="180"/>
  <c r="AE45" i="180"/>
  <c r="V45" i="180"/>
  <c r="U45" i="180"/>
  <c r="O45" i="180"/>
  <c r="N45" i="180"/>
  <c r="Q45" i="180" s="1"/>
  <c r="M45" i="180"/>
  <c r="K45" i="180"/>
  <c r="G45" i="180"/>
  <c r="AF44" i="180"/>
  <c r="AE44" i="180"/>
  <c r="V44" i="180"/>
  <c r="U44" i="180"/>
  <c r="O44" i="180"/>
  <c r="M44" i="180"/>
  <c r="N44" i="180" s="1"/>
  <c r="K44" i="180"/>
  <c r="G44" i="180"/>
  <c r="AF43" i="180"/>
  <c r="AE43" i="180"/>
  <c r="V43" i="180"/>
  <c r="O43" i="180"/>
  <c r="M43" i="180"/>
  <c r="N43" i="180" s="1"/>
  <c r="K43" i="180"/>
  <c r="G43" i="180"/>
  <c r="AD42" i="180"/>
  <c r="Z42" i="180"/>
  <c r="Y42" i="180"/>
  <c r="O42" i="180"/>
  <c r="K42" i="180"/>
  <c r="V41" i="180"/>
  <c r="M41" i="180" s="1"/>
  <c r="U41" i="180"/>
  <c r="O41" i="180"/>
  <c r="K41" i="180"/>
  <c r="G41" i="180"/>
  <c r="AF40" i="180"/>
  <c r="X40" i="180"/>
  <c r="W40" i="180"/>
  <c r="V40" i="180"/>
  <c r="U40" i="180"/>
  <c r="O40" i="180"/>
  <c r="M40" i="180"/>
  <c r="N40" i="180" s="1"/>
  <c r="K40" i="180"/>
  <c r="G40" i="180"/>
  <c r="V39" i="180"/>
  <c r="M39" i="180" s="1"/>
  <c r="U39" i="180"/>
  <c r="O39" i="180"/>
  <c r="K39" i="180"/>
  <c r="G39" i="180"/>
  <c r="AF38" i="180"/>
  <c r="AE38" i="180"/>
  <c r="V38" i="180"/>
  <c r="U38" i="180"/>
  <c r="Q38" i="180"/>
  <c r="P38" i="180"/>
  <c r="O38" i="180"/>
  <c r="N38" i="180"/>
  <c r="M38" i="180"/>
  <c r="K38" i="180"/>
  <c r="G38" i="180"/>
  <c r="AF37" i="180"/>
  <c r="V37" i="180"/>
  <c r="U37" i="180"/>
  <c r="P37" i="180"/>
  <c r="O37" i="180"/>
  <c r="N37" i="180"/>
  <c r="Q37" i="180" s="1"/>
  <c r="M37" i="180"/>
  <c r="AE37" i="180" s="1"/>
  <c r="K37" i="180"/>
  <c r="G37" i="180"/>
  <c r="X36" i="180"/>
  <c r="W36" i="180"/>
  <c r="V36" i="180"/>
  <c r="M36" i="180" s="1"/>
  <c r="O36" i="180"/>
  <c r="K36" i="180"/>
  <c r="G36" i="180"/>
  <c r="AD35" i="180"/>
  <c r="Z35" i="180"/>
  <c r="Z2" i="180" s="1"/>
  <c r="L6" i="179" s="1"/>
  <c r="Y35" i="180"/>
  <c r="O35" i="180"/>
  <c r="K35" i="180"/>
  <c r="AF34" i="180"/>
  <c r="V34" i="180"/>
  <c r="U34" i="180"/>
  <c r="P34" i="180"/>
  <c r="O34" i="180"/>
  <c r="N34" i="180"/>
  <c r="Q34" i="180" s="1"/>
  <c r="M34" i="180"/>
  <c r="AE34" i="180" s="1"/>
  <c r="K34" i="180"/>
  <c r="G34" i="180"/>
  <c r="AF33" i="180"/>
  <c r="AE33" i="180"/>
  <c r="X33" i="180"/>
  <c r="W33" i="180"/>
  <c r="V33" i="180"/>
  <c r="U33" i="180"/>
  <c r="Q33" i="180"/>
  <c r="P33" i="180"/>
  <c r="O33" i="180"/>
  <c r="N33" i="180"/>
  <c r="M33" i="180"/>
  <c r="K33" i="180"/>
  <c r="G33" i="180"/>
  <c r="AF32" i="180"/>
  <c r="V32" i="180"/>
  <c r="U32" i="180"/>
  <c r="P32" i="180"/>
  <c r="O32" i="180"/>
  <c r="N32" i="180"/>
  <c r="Q32" i="180" s="1"/>
  <c r="M32" i="180"/>
  <c r="AE32" i="180" s="1"/>
  <c r="K32" i="180"/>
  <c r="G32" i="180"/>
  <c r="AF31" i="180"/>
  <c r="AE31" i="180"/>
  <c r="V31" i="180"/>
  <c r="U31" i="180"/>
  <c r="O31" i="180"/>
  <c r="N31" i="180"/>
  <c r="Q31" i="180" s="1"/>
  <c r="M31" i="180"/>
  <c r="K31" i="180"/>
  <c r="G31" i="180"/>
  <c r="AF30" i="180"/>
  <c r="AE30" i="180"/>
  <c r="V30" i="180"/>
  <c r="U30" i="180"/>
  <c r="Q30" i="180"/>
  <c r="P30" i="180"/>
  <c r="O30" i="180"/>
  <c r="N30" i="180"/>
  <c r="M30" i="180"/>
  <c r="K30" i="180"/>
  <c r="G30" i="180"/>
  <c r="X29" i="180"/>
  <c r="W29" i="180"/>
  <c r="V29" i="180"/>
  <c r="P29" i="180"/>
  <c r="O29" i="180"/>
  <c r="N29" i="180"/>
  <c r="Q29" i="180" s="1"/>
  <c r="M29" i="180"/>
  <c r="M35" i="180" s="1"/>
  <c r="K29" i="180"/>
  <c r="G29" i="180"/>
  <c r="AD28" i="180"/>
  <c r="Z28" i="180"/>
  <c r="Y28" i="180"/>
  <c r="O28" i="180"/>
  <c r="K28" i="180"/>
  <c r="AF27" i="180"/>
  <c r="AE27" i="180"/>
  <c r="V27" i="180"/>
  <c r="U27" i="180"/>
  <c r="Q27" i="180"/>
  <c r="P27" i="180"/>
  <c r="O27" i="180"/>
  <c r="N27" i="180"/>
  <c r="M27" i="180"/>
  <c r="K27" i="180"/>
  <c r="G27" i="180"/>
  <c r="AF26" i="180"/>
  <c r="AE26" i="180"/>
  <c r="V26" i="180"/>
  <c r="U26" i="180"/>
  <c r="O26" i="180"/>
  <c r="N26" i="180"/>
  <c r="Q26" i="180" s="1"/>
  <c r="M26" i="180"/>
  <c r="K26" i="180"/>
  <c r="G26" i="180"/>
  <c r="V25" i="180"/>
  <c r="U25" i="180"/>
  <c r="O25" i="180"/>
  <c r="M25" i="180"/>
  <c r="AE25" i="180" s="1"/>
  <c r="K25" i="180"/>
  <c r="G25" i="180"/>
  <c r="AF24" i="180"/>
  <c r="AE24" i="180"/>
  <c r="V24" i="180"/>
  <c r="U24" i="180"/>
  <c r="O24" i="180"/>
  <c r="N24" i="180"/>
  <c r="M24" i="180"/>
  <c r="K24" i="180"/>
  <c r="Q24" i="180" s="1"/>
  <c r="G24" i="180"/>
  <c r="AF23" i="180"/>
  <c r="AE23" i="180"/>
  <c r="V23" i="180"/>
  <c r="U23" i="180"/>
  <c r="O23" i="180"/>
  <c r="N23" i="180"/>
  <c r="Q23" i="180" s="1"/>
  <c r="M23" i="180"/>
  <c r="K23" i="180"/>
  <c r="G23" i="180"/>
  <c r="AF22" i="180"/>
  <c r="AE22" i="180"/>
  <c r="V22" i="180"/>
  <c r="O22" i="180"/>
  <c r="N22" i="180"/>
  <c r="Q22" i="180" s="1"/>
  <c r="M22" i="180"/>
  <c r="K22" i="180"/>
  <c r="G22" i="180"/>
  <c r="AD21" i="180"/>
  <c r="Z21" i="180"/>
  <c r="Y21" i="180"/>
  <c r="O21" i="180"/>
  <c r="K21" i="180"/>
  <c r="AF20" i="180"/>
  <c r="AE20" i="180"/>
  <c r="V20" i="180"/>
  <c r="U20" i="180"/>
  <c r="O20" i="180"/>
  <c r="M20" i="180"/>
  <c r="N20" i="180" s="1"/>
  <c r="K20" i="180"/>
  <c r="G20" i="180"/>
  <c r="AF19" i="180"/>
  <c r="AE19" i="180"/>
  <c r="V19" i="180"/>
  <c r="U19" i="180"/>
  <c r="O19" i="180"/>
  <c r="M19" i="180"/>
  <c r="N19" i="180" s="1"/>
  <c r="K19" i="180"/>
  <c r="G19" i="180"/>
  <c r="V18" i="180"/>
  <c r="M18" i="180" s="1"/>
  <c r="U18" i="180"/>
  <c r="O18" i="180"/>
  <c r="K18" i="180"/>
  <c r="G18" i="180"/>
  <c r="AF17" i="180"/>
  <c r="AE17" i="180"/>
  <c r="V17" i="180"/>
  <c r="U17" i="180"/>
  <c r="Q17" i="180"/>
  <c r="P17" i="180"/>
  <c r="O17" i="180"/>
  <c r="N17" i="180"/>
  <c r="M17" i="180"/>
  <c r="K17" i="180"/>
  <c r="G17" i="180"/>
  <c r="AF16" i="180"/>
  <c r="V16" i="180"/>
  <c r="U16" i="180"/>
  <c r="P16" i="180"/>
  <c r="O16" i="180"/>
  <c r="N16" i="180"/>
  <c r="Q16" i="180" s="1"/>
  <c r="M16" i="180"/>
  <c r="AE16" i="180" s="1"/>
  <c r="K16" i="180"/>
  <c r="G16" i="180"/>
  <c r="AF15" i="180"/>
  <c r="AE15" i="180"/>
  <c r="V15" i="180"/>
  <c r="U15" i="180"/>
  <c r="O15" i="180"/>
  <c r="N15" i="180"/>
  <c r="P15" i="180" s="1"/>
  <c r="M15" i="180"/>
  <c r="K15" i="180"/>
  <c r="G15" i="180"/>
  <c r="AF14" i="180"/>
  <c r="AE14" i="180"/>
  <c r="X14" i="180"/>
  <c r="W14" i="180"/>
  <c r="V14" i="180"/>
  <c r="Q14" i="180"/>
  <c r="P14" i="180"/>
  <c r="O14" i="180"/>
  <c r="N14" i="180"/>
  <c r="M14" i="180"/>
  <c r="K14" i="180"/>
  <c r="G14" i="180"/>
  <c r="AD13" i="180"/>
  <c r="Z13" i="180"/>
  <c r="Y13" i="180"/>
  <c r="Y2" i="180" s="1"/>
  <c r="K6" i="179" s="1"/>
  <c r="O13" i="180"/>
  <c r="K13" i="180"/>
  <c r="AF12" i="180"/>
  <c r="AE12" i="180"/>
  <c r="V12" i="180"/>
  <c r="U12" i="180"/>
  <c r="O12" i="180"/>
  <c r="N12" i="180"/>
  <c r="Q12" i="180" s="1"/>
  <c r="M12" i="180"/>
  <c r="K12" i="180"/>
  <c r="G12" i="180"/>
  <c r="X11" i="180"/>
  <c r="W11" i="180"/>
  <c r="V11" i="180"/>
  <c r="U11" i="180"/>
  <c r="P11" i="180"/>
  <c r="O11" i="180"/>
  <c r="N11" i="180"/>
  <c r="Q11" i="180" s="1"/>
  <c r="M11" i="180"/>
  <c r="AF11" i="180" s="1"/>
  <c r="K11" i="180"/>
  <c r="G11" i="180"/>
  <c r="AF10" i="180"/>
  <c r="AE10" i="180"/>
  <c r="V10" i="180"/>
  <c r="U10" i="180"/>
  <c r="O10" i="180"/>
  <c r="N10" i="180"/>
  <c r="Q10" i="180" s="1"/>
  <c r="M10" i="180"/>
  <c r="K10" i="180"/>
  <c r="G10" i="180"/>
  <c r="AF9" i="180"/>
  <c r="AE9" i="180"/>
  <c r="V9" i="180"/>
  <c r="U9" i="180"/>
  <c r="Q9" i="180"/>
  <c r="P9" i="180"/>
  <c r="O9" i="180"/>
  <c r="N9" i="180"/>
  <c r="M9" i="180"/>
  <c r="K9" i="180"/>
  <c r="G9" i="180"/>
  <c r="X8" i="180"/>
  <c r="W8" i="180"/>
  <c r="V8" i="180"/>
  <c r="P8" i="180"/>
  <c r="O8" i="180"/>
  <c r="N8" i="180"/>
  <c r="Q8" i="180" s="1"/>
  <c r="M8" i="180"/>
  <c r="M13" i="180" s="1"/>
  <c r="K8" i="180"/>
  <c r="G8" i="180"/>
  <c r="AE7" i="180"/>
  <c r="AD7" i="180"/>
  <c r="Z7" i="180"/>
  <c r="Y7" i="180"/>
  <c r="P7" i="180"/>
  <c r="O7" i="180"/>
  <c r="N7" i="180"/>
  <c r="D14" i="179" s="1"/>
  <c r="M7" i="180"/>
  <c r="AF7" i="180" s="1"/>
  <c r="AG5" i="180" s="1"/>
  <c r="K7" i="180"/>
  <c r="AF6" i="180"/>
  <c r="AE6" i="180"/>
  <c r="V6" i="180"/>
  <c r="U6" i="180"/>
  <c r="Q6" i="180"/>
  <c r="P6" i="180"/>
  <c r="O6" i="180"/>
  <c r="N6" i="180"/>
  <c r="M6" i="180"/>
  <c r="K6" i="180"/>
  <c r="G6" i="180"/>
  <c r="AF5" i="180"/>
  <c r="AE5" i="180"/>
  <c r="V5" i="180"/>
  <c r="Q5" i="180"/>
  <c r="P5" i="180"/>
  <c r="O5" i="180"/>
  <c r="N5" i="180"/>
  <c r="M5" i="180"/>
  <c r="K5" i="180"/>
  <c r="G5" i="180"/>
  <c r="AD2" i="180"/>
  <c r="H2" i="180"/>
  <c r="H1" i="180"/>
  <c r="F1" i="180"/>
  <c r="I3" i="179" s="1"/>
  <c r="D1" i="180"/>
  <c r="M22" i="179"/>
  <c r="L22" i="179"/>
  <c r="K22" i="179"/>
  <c r="J22" i="179"/>
  <c r="I22" i="179"/>
  <c r="H22" i="179"/>
  <c r="G22" i="179"/>
  <c r="F22" i="179"/>
  <c r="E22" i="179"/>
  <c r="D22" i="179"/>
  <c r="M21" i="179"/>
  <c r="L21" i="179"/>
  <c r="K21" i="179"/>
  <c r="J21" i="179"/>
  <c r="I21" i="179"/>
  <c r="H21" i="179"/>
  <c r="G21" i="179"/>
  <c r="F21" i="179"/>
  <c r="E21" i="179"/>
  <c r="D21" i="179"/>
  <c r="M20" i="179"/>
  <c r="L20" i="179"/>
  <c r="K20" i="179"/>
  <c r="J20" i="179"/>
  <c r="I20" i="179"/>
  <c r="H20" i="179"/>
  <c r="G20" i="179"/>
  <c r="F20" i="179"/>
  <c r="E20" i="179"/>
  <c r="D20" i="179"/>
  <c r="M19" i="179"/>
  <c r="L19" i="179"/>
  <c r="J19" i="179"/>
  <c r="I19" i="179"/>
  <c r="H19" i="179"/>
  <c r="G19" i="179"/>
  <c r="F19" i="179"/>
  <c r="E19" i="179"/>
  <c r="D19" i="179"/>
  <c r="M18" i="179"/>
  <c r="L18" i="179"/>
  <c r="K18" i="179"/>
  <c r="J18" i="179"/>
  <c r="I18" i="179"/>
  <c r="H18" i="179"/>
  <c r="G18" i="179"/>
  <c r="F18" i="179"/>
  <c r="E18" i="179"/>
  <c r="D18" i="179"/>
  <c r="M17" i="179"/>
  <c r="L17" i="179"/>
  <c r="K17" i="179"/>
  <c r="J17" i="179"/>
  <c r="I17" i="179"/>
  <c r="H17" i="179"/>
  <c r="G17" i="179"/>
  <c r="F17" i="179"/>
  <c r="E17" i="179"/>
  <c r="D17" i="179"/>
  <c r="M16" i="179"/>
  <c r="L16" i="179"/>
  <c r="K16" i="179"/>
  <c r="J16" i="179"/>
  <c r="I16" i="179"/>
  <c r="H16" i="179"/>
  <c r="G16" i="179"/>
  <c r="F16" i="179"/>
  <c r="E16" i="179"/>
  <c r="D16" i="179"/>
  <c r="M13" i="179"/>
  <c r="L13" i="179"/>
  <c r="K13" i="179"/>
  <c r="J13" i="179"/>
  <c r="I13" i="179"/>
  <c r="H13" i="179"/>
  <c r="F6" i="179" s="1"/>
  <c r="G13" i="179"/>
  <c r="F13" i="179"/>
  <c r="E13" i="179"/>
  <c r="D13" i="179"/>
  <c r="N6" i="179"/>
  <c r="M6" i="179"/>
  <c r="I6" i="179"/>
  <c r="F3" i="179"/>
  <c r="C3" i="179"/>
  <c r="G8" i="187" l="1"/>
  <c r="E8" i="187"/>
  <c r="F8" i="187"/>
  <c r="D15" i="185"/>
  <c r="E7" i="185"/>
  <c r="G7" i="185"/>
  <c r="F7" i="185"/>
  <c r="Q79" i="184"/>
  <c r="R70" i="184" s="1"/>
  <c r="P79" i="184"/>
  <c r="M14" i="183"/>
  <c r="M15" i="183" s="1"/>
  <c r="Q69" i="184"/>
  <c r="R65" i="184" s="1"/>
  <c r="P69" i="184"/>
  <c r="J14" i="183"/>
  <c r="J15" i="183" s="1"/>
  <c r="Q30" i="184"/>
  <c r="R23" i="184" s="1"/>
  <c r="P30" i="184"/>
  <c r="G14" i="183"/>
  <c r="G15" i="183" s="1"/>
  <c r="Q40" i="184"/>
  <c r="R31" i="184" s="1"/>
  <c r="P40" i="184"/>
  <c r="K14" i="183"/>
  <c r="D2" i="184"/>
  <c r="Q7" i="184"/>
  <c r="R5" i="184" s="1"/>
  <c r="D14" i="183"/>
  <c r="P7" i="184"/>
  <c r="Q14" i="184"/>
  <c r="R8" i="184" s="1"/>
  <c r="E14" i="183"/>
  <c r="E15" i="183" s="1"/>
  <c r="P14" i="184"/>
  <c r="P64" i="184"/>
  <c r="I14" i="183"/>
  <c r="I15" i="183" s="1"/>
  <c r="Q64" i="184"/>
  <c r="R55" i="184" s="1"/>
  <c r="Q49" i="184"/>
  <c r="R41" i="184" s="1"/>
  <c r="P49" i="184"/>
  <c r="L14" i="183"/>
  <c r="L15" i="183" s="1"/>
  <c r="Q62" i="182"/>
  <c r="P62" i="182"/>
  <c r="P68" i="182"/>
  <c r="Q68" i="182"/>
  <c r="D15" i="181"/>
  <c r="P9" i="182"/>
  <c r="Q9" i="182"/>
  <c r="Q67" i="182"/>
  <c r="P67" i="182"/>
  <c r="H14" i="181"/>
  <c r="H15" i="181" s="1"/>
  <c r="Q47" i="182"/>
  <c r="R43" i="182" s="1"/>
  <c r="P47" i="182"/>
  <c r="Q46" i="182"/>
  <c r="P46" i="182"/>
  <c r="Q39" i="182"/>
  <c r="P39" i="182"/>
  <c r="P33" i="182"/>
  <c r="Q33" i="182"/>
  <c r="N13" i="182"/>
  <c r="AF13" i="182"/>
  <c r="AG8" i="182" s="1"/>
  <c r="AE13" i="182"/>
  <c r="AF69" i="182"/>
  <c r="AG62" i="182" s="1"/>
  <c r="AE69" i="182"/>
  <c r="N69" i="182"/>
  <c r="Q6" i="182"/>
  <c r="P6" i="182"/>
  <c r="AF42" i="182"/>
  <c r="AG36" i="182" s="1"/>
  <c r="AE42" i="182"/>
  <c r="N42" i="182"/>
  <c r="AF35" i="182"/>
  <c r="AG29" i="182" s="1"/>
  <c r="AE35" i="182"/>
  <c r="N35" i="182"/>
  <c r="P17" i="182"/>
  <c r="Q17" i="182"/>
  <c r="P38" i="182"/>
  <c r="Q38" i="182"/>
  <c r="P60" i="182"/>
  <c r="Q60" i="182"/>
  <c r="P51" i="182"/>
  <c r="Q51" i="182"/>
  <c r="P30" i="182"/>
  <c r="Q30" i="182"/>
  <c r="P26" i="182"/>
  <c r="Q26" i="182"/>
  <c r="P23" i="182"/>
  <c r="Q23" i="182"/>
  <c r="P40" i="182"/>
  <c r="Q40" i="182"/>
  <c r="Q16" i="182"/>
  <c r="P16" i="182"/>
  <c r="Q22" i="182"/>
  <c r="P22" i="182"/>
  <c r="P65" i="182"/>
  <c r="Q65" i="182"/>
  <c r="Q27" i="182"/>
  <c r="P27" i="182"/>
  <c r="Q18" i="182"/>
  <c r="P18" i="182"/>
  <c r="P49" i="182"/>
  <c r="Q49" i="182"/>
  <c r="Q11" i="182"/>
  <c r="P11" i="182"/>
  <c r="Q19" i="182"/>
  <c r="P19" i="182"/>
  <c r="AF21" i="182"/>
  <c r="AG14" i="182" s="1"/>
  <c r="AE21" i="182"/>
  <c r="N21" i="182"/>
  <c r="AF28" i="182"/>
  <c r="AG22" i="182" s="1"/>
  <c r="AE28" i="182"/>
  <c r="N28" i="182"/>
  <c r="Q41" i="182"/>
  <c r="P41" i="182"/>
  <c r="P57" i="182"/>
  <c r="Q57" i="182"/>
  <c r="AF56" i="182"/>
  <c r="AG48" i="182" s="1"/>
  <c r="AE56" i="182"/>
  <c r="N56" i="182"/>
  <c r="P45" i="182"/>
  <c r="Q45" i="182"/>
  <c r="Q55" i="182"/>
  <c r="P55" i="182"/>
  <c r="P12" i="182"/>
  <c r="Q12" i="182"/>
  <c r="P57" i="180"/>
  <c r="Q57" i="180"/>
  <c r="N35" i="180"/>
  <c r="AF35" i="180"/>
  <c r="AG29" i="180" s="1"/>
  <c r="AE35" i="180"/>
  <c r="Q40" i="180"/>
  <c r="P40" i="180"/>
  <c r="Q63" i="180"/>
  <c r="P63" i="180"/>
  <c r="P44" i="180"/>
  <c r="Q44" i="180"/>
  <c r="AF13" i="180"/>
  <c r="AG8" i="180" s="1"/>
  <c r="AE13" i="180"/>
  <c r="N13" i="180"/>
  <c r="N18" i="180"/>
  <c r="AF18" i="180"/>
  <c r="AE18" i="180"/>
  <c r="Q47" i="180"/>
  <c r="R43" i="180" s="1"/>
  <c r="P47" i="180"/>
  <c r="H14" i="179"/>
  <c r="H15" i="179" s="1"/>
  <c r="N55" i="180"/>
  <c r="AF55" i="180"/>
  <c r="AE55" i="180"/>
  <c r="N36" i="180"/>
  <c r="AF36" i="180"/>
  <c r="M42" i="180"/>
  <c r="AE36" i="180"/>
  <c r="P58" i="180"/>
  <c r="Q58" i="180"/>
  <c r="Q61" i="180"/>
  <c r="R57" i="180" s="1"/>
  <c r="P61" i="180"/>
  <c r="J14" i="179"/>
  <c r="J15" i="179" s="1"/>
  <c r="N41" i="180"/>
  <c r="AF41" i="180"/>
  <c r="AE41" i="180"/>
  <c r="Q60" i="180"/>
  <c r="P60" i="180"/>
  <c r="P20" i="180"/>
  <c r="Q20" i="180"/>
  <c r="D15" i="179"/>
  <c r="Q19" i="180"/>
  <c r="P19" i="180"/>
  <c r="P43" i="180"/>
  <c r="Q43" i="180"/>
  <c r="N39" i="180"/>
  <c r="AF39" i="180"/>
  <c r="AE39" i="180"/>
  <c r="AF25" i="180"/>
  <c r="M28" i="180"/>
  <c r="AE47" i="180"/>
  <c r="AF48" i="180"/>
  <c r="AF49" i="180"/>
  <c r="AE61" i="180"/>
  <c r="P10" i="180"/>
  <c r="P12" i="180"/>
  <c r="P31" i="180"/>
  <c r="P52" i="180"/>
  <c r="Q15" i="180"/>
  <c r="N25" i="180"/>
  <c r="N48" i="180"/>
  <c r="N49" i="180"/>
  <c r="P68" i="180"/>
  <c r="K19" i="179"/>
  <c r="M21" i="180"/>
  <c r="P26" i="180"/>
  <c r="AE40" i="180"/>
  <c r="P50" i="180"/>
  <c r="Q68" i="180"/>
  <c r="R62" i="180" s="1"/>
  <c r="E6" i="179"/>
  <c r="F2" i="180"/>
  <c r="P24" i="180"/>
  <c r="AE8" i="180"/>
  <c r="AE11" i="180"/>
  <c r="P22" i="180"/>
  <c r="P23" i="180"/>
  <c r="AE29" i="180"/>
  <c r="P46" i="180"/>
  <c r="G6" i="179"/>
  <c r="AF8" i="180"/>
  <c r="AF29" i="180"/>
  <c r="P45" i="180"/>
  <c r="P59" i="180"/>
  <c r="AE68" i="180"/>
  <c r="Q7" i="180"/>
  <c r="R5" i="180" s="1"/>
  <c r="M56" i="180"/>
  <c r="AD71" i="178"/>
  <c r="Z71" i="178"/>
  <c r="Y71" i="178"/>
  <c r="O71" i="178"/>
  <c r="K71" i="178"/>
  <c r="V70" i="178"/>
  <c r="M70" i="178" s="1"/>
  <c r="U70" i="178"/>
  <c r="O70" i="178"/>
  <c r="K70" i="178"/>
  <c r="G70" i="178"/>
  <c r="V69" i="178"/>
  <c r="U69" i="178"/>
  <c r="O69" i="178"/>
  <c r="M69" i="178"/>
  <c r="AE69" i="178" s="1"/>
  <c r="K69" i="178"/>
  <c r="G69" i="178"/>
  <c r="F1" i="178" s="1"/>
  <c r="AF68" i="178"/>
  <c r="AE68" i="178"/>
  <c r="X68" i="178"/>
  <c r="W68" i="178"/>
  <c r="V68" i="178"/>
  <c r="U68" i="178"/>
  <c r="O68" i="178"/>
  <c r="M68" i="178"/>
  <c r="N68" i="178" s="1"/>
  <c r="P68" i="178" s="1"/>
  <c r="K68" i="178"/>
  <c r="G68" i="178"/>
  <c r="AF67" i="178"/>
  <c r="AE67" i="178"/>
  <c r="V67" i="178"/>
  <c r="U67" i="178"/>
  <c r="O67" i="178"/>
  <c r="N67" i="178"/>
  <c r="Q67" i="178" s="1"/>
  <c r="M67" i="178"/>
  <c r="K67" i="178"/>
  <c r="G67" i="178"/>
  <c r="AF66" i="178"/>
  <c r="AE66" i="178"/>
  <c r="V66" i="178"/>
  <c r="U66" i="178"/>
  <c r="O66" i="178"/>
  <c r="M66" i="178"/>
  <c r="N66" i="178" s="1"/>
  <c r="K66" i="178"/>
  <c r="G66" i="178"/>
  <c r="AF65" i="178"/>
  <c r="AE65" i="178"/>
  <c r="V65" i="178"/>
  <c r="U65" i="178"/>
  <c r="O65" i="178"/>
  <c r="N65" i="178"/>
  <c r="M65" i="178"/>
  <c r="K65" i="178"/>
  <c r="G65" i="178"/>
  <c r="AF64" i="178"/>
  <c r="AE64" i="178"/>
  <c r="X64" i="178"/>
  <c r="W64" i="178"/>
  <c r="V64" i="178"/>
  <c r="O64" i="178"/>
  <c r="N64" i="178"/>
  <c r="Q64" i="178" s="1"/>
  <c r="M64" i="178"/>
  <c r="K64" i="178"/>
  <c r="G64" i="178"/>
  <c r="AD63" i="178"/>
  <c r="Z63" i="178"/>
  <c r="Y63" i="178"/>
  <c r="O63" i="178"/>
  <c r="K63" i="178"/>
  <c r="AF62" i="178"/>
  <c r="AE62" i="178"/>
  <c r="V62" i="178"/>
  <c r="U62" i="178"/>
  <c r="O62" i="178"/>
  <c r="N62" i="178"/>
  <c r="Q62" i="178" s="1"/>
  <c r="M62" i="178"/>
  <c r="K62" i="178"/>
  <c r="G62" i="178"/>
  <c r="AF61" i="178"/>
  <c r="AE61" i="178"/>
  <c r="V61" i="178"/>
  <c r="U61" i="178"/>
  <c r="O61" i="178"/>
  <c r="M61" i="178"/>
  <c r="M63" i="178" s="1"/>
  <c r="K61" i="178"/>
  <c r="G61" i="178"/>
  <c r="AF60" i="178"/>
  <c r="AE60" i="178"/>
  <c r="V60" i="178"/>
  <c r="U60" i="178"/>
  <c r="O60" i="178"/>
  <c r="N60" i="178"/>
  <c r="Q60" i="178" s="1"/>
  <c r="M60" i="178"/>
  <c r="K60" i="178"/>
  <c r="G60" i="178"/>
  <c r="AF59" i="178"/>
  <c r="AE59" i="178"/>
  <c r="V59" i="178"/>
  <c r="O59" i="178"/>
  <c r="N59" i="178"/>
  <c r="Q59" i="178" s="1"/>
  <c r="M59" i="178"/>
  <c r="K59" i="178"/>
  <c r="G59" i="178"/>
  <c r="AD58" i="178"/>
  <c r="Z58" i="178"/>
  <c r="Y58" i="178"/>
  <c r="O58" i="178"/>
  <c r="M58" i="178"/>
  <c r="K58" i="178"/>
  <c r="AF57" i="178"/>
  <c r="AE57" i="178"/>
  <c r="V57" i="178"/>
  <c r="U57" i="178"/>
  <c r="O57" i="178"/>
  <c r="N57" i="178"/>
  <c r="Q57" i="178" s="1"/>
  <c r="M57" i="178"/>
  <c r="K57" i="178"/>
  <c r="G57" i="178"/>
  <c r="AF56" i="178"/>
  <c r="AE56" i="178"/>
  <c r="V56" i="178"/>
  <c r="U56" i="178"/>
  <c r="Q56" i="178"/>
  <c r="P56" i="178"/>
  <c r="O56" i="178"/>
  <c r="N56" i="178"/>
  <c r="M56" i="178"/>
  <c r="K56" i="178"/>
  <c r="G56" i="178"/>
  <c r="AF55" i="178"/>
  <c r="AE55" i="178"/>
  <c r="V55" i="178"/>
  <c r="U55" i="178"/>
  <c r="O55" i="178"/>
  <c r="N55" i="178"/>
  <c r="Q55" i="178" s="1"/>
  <c r="M55" i="178"/>
  <c r="K55" i="178"/>
  <c r="G55" i="178"/>
  <c r="AF54" i="178"/>
  <c r="AE54" i="178"/>
  <c r="V54" i="178"/>
  <c r="U54" i="178"/>
  <c r="Q54" i="178"/>
  <c r="P54" i="178"/>
  <c r="O54" i="178"/>
  <c r="M54" i="178"/>
  <c r="N54" i="178" s="1"/>
  <c r="K54" i="178"/>
  <c r="G54" i="178"/>
  <c r="AF53" i="178"/>
  <c r="AE53" i="178"/>
  <c r="V53" i="178"/>
  <c r="U53" i="178"/>
  <c r="O53" i="178"/>
  <c r="N53" i="178"/>
  <c r="Q53" i="178" s="1"/>
  <c r="M53" i="178"/>
  <c r="K53" i="178"/>
  <c r="G53" i="178"/>
  <c r="AF52" i="178"/>
  <c r="AE52" i="178"/>
  <c r="V52" i="178"/>
  <c r="U52" i="178"/>
  <c r="O52" i="178"/>
  <c r="M52" i="178"/>
  <c r="N52" i="178" s="1"/>
  <c r="P52" i="178" s="1"/>
  <c r="K52" i="178"/>
  <c r="G52" i="178"/>
  <c r="AF51" i="178"/>
  <c r="AE51" i="178"/>
  <c r="V51" i="178"/>
  <c r="U51" i="178"/>
  <c r="O51" i="178"/>
  <c r="N51" i="178"/>
  <c r="Q51" i="178" s="1"/>
  <c r="M51" i="178"/>
  <c r="K51" i="178"/>
  <c r="G51" i="178"/>
  <c r="AF50" i="178"/>
  <c r="AE50" i="178"/>
  <c r="V50" i="178"/>
  <c r="O50" i="178"/>
  <c r="N50" i="178"/>
  <c r="Q50" i="178" s="1"/>
  <c r="M50" i="178"/>
  <c r="K50" i="178"/>
  <c r="G50" i="178"/>
  <c r="AD49" i="178"/>
  <c r="Z49" i="178"/>
  <c r="Y49" i="178"/>
  <c r="O49" i="178"/>
  <c r="M49" i="178"/>
  <c r="N49" i="178" s="1"/>
  <c r="K49" i="178"/>
  <c r="AF48" i="178"/>
  <c r="AE48" i="178"/>
  <c r="V48" i="178"/>
  <c r="U48" i="178"/>
  <c r="O48" i="178"/>
  <c r="N48" i="178"/>
  <c r="Q48" i="178" s="1"/>
  <c r="M48" i="178"/>
  <c r="K48" i="178"/>
  <c r="G48" i="178"/>
  <c r="AF47" i="178"/>
  <c r="AE47" i="178"/>
  <c r="V47" i="178"/>
  <c r="U47" i="178"/>
  <c r="O47" i="178"/>
  <c r="N47" i="178"/>
  <c r="Q47" i="178" s="1"/>
  <c r="M47" i="178"/>
  <c r="K47" i="178"/>
  <c r="G47" i="178"/>
  <c r="AF46" i="178"/>
  <c r="AE46" i="178"/>
  <c r="V46" i="178"/>
  <c r="U46" i="178"/>
  <c r="O46" i="178"/>
  <c r="N46" i="178"/>
  <c r="Q46" i="178" s="1"/>
  <c r="M46" i="178"/>
  <c r="K46" i="178"/>
  <c r="G46" i="178"/>
  <c r="AF45" i="178"/>
  <c r="AE45" i="178"/>
  <c r="V45" i="178"/>
  <c r="Q45" i="178"/>
  <c r="P45" i="178"/>
  <c r="O45" i="178"/>
  <c r="N45" i="178"/>
  <c r="M45" i="178"/>
  <c r="K45" i="178"/>
  <c r="G45" i="178"/>
  <c r="AD44" i="178"/>
  <c r="Z44" i="178"/>
  <c r="Y44" i="178"/>
  <c r="O44" i="178"/>
  <c r="M44" i="178"/>
  <c r="AE44" i="178" s="1"/>
  <c r="K44" i="178"/>
  <c r="AF43" i="178"/>
  <c r="AE43" i="178"/>
  <c r="V43" i="178"/>
  <c r="U43" i="178"/>
  <c r="O43" i="178"/>
  <c r="N43" i="178"/>
  <c r="Q43" i="178" s="1"/>
  <c r="M43" i="178"/>
  <c r="K43" i="178"/>
  <c r="G43" i="178"/>
  <c r="AF42" i="178"/>
  <c r="AE42" i="178"/>
  <c r="V42" i="178"/>
  <c r="U42" i="178"/>
  <c r="O42" i="178"/>
  <c r="N42" i="178"/>
  <c r="Q42" i="178" s="1"/>
  <c r="M42" i="178"/>
  <c r="K42" i="178"/>
  <c r="G42" i="178"/>
  <c r="AF41" i="178"/>
  <c r="AE41" i="178"/>
  <c r="X41" i="178"/>
  <c r="W41" i="178"/>
  <c r="V41" i="178"/>
  <c r="U41" i="178"/>
  <c r="O41" i="178"/>
  <c r="N41" i="178"/>
  <c r="Q41" i="178" s="1"/>
  <c r="M41" i="178"/>
  <c r="K41" i="178"/>
  <c r="G41" i="178"/>
  <c r="AF40" i="178"/>
  <c r="AE40" i="178"/>
  <c r="V40" i="178"/>
  <c r="U40" i="178"/>
  <c r="O40" i="178"/>
  <c r="N40" i="178"/>
  <c r="Q40" i="178" s="1"/>
  <c r="M40" i="178"/>
  <c r="K40" i="178"/>
  <c r="G40" i="178"/>
  <c r="AF39" i="178"/>
  <c r="AE39" i="178"/>
  <c r="V39" i="178"/>
  <c r="U39" i="178"/>
  <c r="O39" i="178"/>
  <c r="N39" i="178"/>
  <c r="Q39" i="178" s="1"/>
  <c r="M39" i="178"/>
  <c r="K39" i="178"/>
  <c r="G39" i="178"/>
  <c r="AF38" i="178"/>
  <c r="AE38" i="178"/>
  <c r="V38" i="178"/>
  <c r="U38" i="178"/>
  <c r="O38" i="178"/>
  <c r="M38" i="178"/>
  <c r="N38" i="178" s="1"/>
  <c r="Q38" i="178" s="1"/>
  <c r="K38" i="178"/>
  <c r="G38" i="178"/>
  <c r="AF37" i="178"/>
  <c r="AE37" i="178"/>
  <c r="X37" i="178"/>
  <c r="W37" i="178"/>
  <c r="V37" i="178"/>
  <c r="O37" i="178"/>
  <c r="N37" i="178"/>
  <c r="Q37" i="178" s="1"/>
  <c r="M37" i="178"/>
  <c r="K37" i="178"/>
  <c r="G37" i="178"/>
  <c r="AF36" i="178"/>
  <c r="AE36" i="178"/>
  <c r="AD36" i="178"/>
  <c r="Z36" i="178"/>
  <c r="Y36" i="178"/>
  <c r="O36" i="178"/>
  <c r="M36" i="178"/>
  <c r="N36" i="178" s="1"/>
  <c r="K36" i="178"/>
  <c r="AF35" i="178"/>
  <c r="AE35" i="178"/>
  <c r="V35" i="178"/>
  <c r="U35" i="178"/>
  <c r="Q35" i="178"/>
  <c r="P35" i="178"/>
  <c r="O35" i="178"/>
  <c r="N35" i="178"/>
  <c r="M35" i="178"/>
  <c r="K35" i="178"/>
  <c r="G35" i="178"/>
  <c r="AF34" i="178"/>
  <c r="AE34" i="178"/>
  <c r="V34" i="178"/>
  <c r="U34" i="178"/>
  <c r="O34" i="178"/>
  <c r="N34" i="178"/>
  <c r="Q34" i="178" s="1"/>
  <c r="M34" i="178"/>
  <c r="K34" i="178"/>
  <c r="G34" i="178"/>
  <c r="AF33" i="178"/>
  <c r="AE33" i="178"/>
  <c r="X33" i="178"/>
  <c r="W33" i="178"/>
  <c r="V33" i="178"/>
  <c r="U33" i="178"/>
  <c r="Q33" i="178"/>
  <c r="P33" i="178"/>
  <c r="O33" i="178"/>
  <c r="M33" i="178"/>
  <c r="N33" i="178" s="1"/>
  <c r="K33" i="178"/>
  <c r="G33" i="178"/>
  <c r="AF32" i="178"/>
  <c r="AE32" i="178"/>
  <c r="V32" i="178"/>
  <c r="U32" i="178"/>
  <c r="O32" i="178"/>
  <c r="N32" i="178"/>
  <c r="Q32" i="178" s="1"/>
  <c r="M32" i="178"/>
  <c r="K32" i="178"/>
  <c r="G32" i="178"/>
  <c r="AF31" i="178"/>
  <c r="AE31" i="178"/>
  <c r="V31" i="178"/>
  <c r="U31" i="178"/>
  <c r="O31" i="178"/>
  <c r="M31" i="178"/>
  <c r="N31" i="178" s="1"/>
  <c r="P31" i="178" s="1"/>
  <c r="K31" i="178"/>
  <c r="G31" i="178"/>
  <c r="AF30" i="178"/>
  <c r="AE30" i="178"/>
  <c r="V30" i="178"/>
  <c r="U30" i="178"/>
  <c r="O30" i="178"/>
  <c r="N30" i="178"/>
  <c r="Q30" i="178" s="1"/>
  <c r="M30" i="178"/>
  <c r="K30" i="178"/>
  <c r="G30" i="178"/>
  <c r="AG29" i="178"/>
  <c r="AF29" i="178"/>
  <c r="AE29" i="178"/>
  <c r="X29" i="178"/>
  <c r="W29" i="178"/>
  <c r="V29" i="178"/>
  <c r="O29" i="178"/>
  <c r="N29" i="178"/>
  <c r="Q29" i="178" s="1"/>
  <c r="M29" i="178"/>
  <c r="K29" i="178"/>
  <c r="G29" i="178"/>
  <c r="AD28" i="178"/>
  <c r="Z28" i="178"/>
  <c r="Y28" i="178"/>
  <c r="O28" i="178"/>
  <c r="N28" i="178"/>
  <c r="G14" i="177" s="1"/>
  <c r="G15" i="177" s="1"/>
  <c r="K28" i="178"/>
  <c r="AF27" i="178"/>
  <c r="AE27" i="178"/>
  <c r="V27" i="178"/>
  <c r="U27" i="178"/>
  <c r="O27" i="178"/>
  <c r="N27" i="178"/>
  <c r="Q27" i="178" s="1"/>
  <c r="M27" i="178"/>
  <c r="K27" i="178"/>
  <c r="G27" i="178"/>
  <c r="AF26" i="178"/>
  <c r="AE26" i="178"/>
  <c r="V26" i="178"/>
  <c r="U26" i="178"/>
  <c r="O26" i="178"/>
  <c r="M26" i="178"/>
  <c r="N26" i="178" s="1"/>
  <c r="Q26" i="178" s="1"/>
  <c r="K26" i="178"/>
  <c r="G26" i="178"/>
  <c r="AF25" i="178"/>
  <c r="AE25" i="178"/>
  <c r="V25" i="178"/>
  <c r="U25" i="178"/>
  <c r="O25" i="178"/>
  <c r="N25" i="178"/>
  <c r="Q25" i="178" s="1"/>
  <c r="M25" i="178"/>
  <c r="K25" i="178"/>
  <c r="G25" i="178"/>
  <c r="AF24" i="178"/>
  <c r="AE24" i="178"/>
  <c r="V24" i="178"/>
  <c r="U24" i="178"/>
  <c r="O24" i="178"/>
  <c r="M24" i="178"/>
  <c r="M28" i="178" s="1"/>
  <c r="K24" i="178"/>
  <c r="G24" i="178"/>
  <c r="AF23" i="178"/>
  <c r="AE23" i="178"/>
  <c r="V23" i="178"/>
  <c r="U23" i="178"/>
  <c r="O23" i="178"/>
  <c r="N23" i="178"/>
  <c r="Q23" i="178" s="1"/>
  <c r="M23" i="178"/>
  <c r="K23" i="178"/>
  <c r="G23" i="178"/>
  <c r="AF22" i="178"/>
  <c r="AE22" i="178"/>
  <c r="V22" i="178"/>
  <c r="O22" i="178"/>
  <c r="N22" i="178"/>
  <c r="Q22" i="178" s="1"/>
  <c r="M22" i="178"/>
  <c r="K22" i="178"/>
  <c r="G22" i="178"/>
  <c r="AD21" i="178"/>
  <c r="Z21" i="178"/>
  <c r="Y21" i="178"/>
  <c r="O21" i="178"/>
  <c r="M21" i="178"/>
  <c r="K21" i="178"/>
  <c r="AF20" i="178"/>
  <c r="AE20" i="178"/>
  <c r="V20" i="178"/>
  <c r="U20" i="178"/>
  <c r="O20" i="178"/>
  <c r="N20" i="178"/>
  <c r="Q20" i="178" s="1"/>
  <c r="M20" i="178"/>
  <c r="K20" i="178"/>
  <c r="G20" i="178"/>
  <c r="AF19" i="178"/>
  <c r="AE19" i="178"/>
  <c r="V19" i="178"/>
  <c r="U19" i="178"/>
  <c r="O19" i="178"/>
  <c r="N19" i="178"/>
  <c r="P19" i="178" s="1"/>
  <c r="M19" i="178"/>
  <c r="K19" i="178"/>
  <c r="G19" i="178"/>
  <c r="AF18" i="178"/>
  <c r="AE18" i="178"/>
  <c r="V18" i="178"/>
  <c r="U18" i="178"/>
  <c r="O18" i="178"/>
  <c r="N18" i="178"/>
  <c r="Q18" i="178" s="1"/>
  <c r="M18" i="178"/>
  <c r="K18" i="178"/>
  <c r="G18" i="178"/>
  <c r="AF17" i="178"/>
  <c r="AE17" i="178"/>
  <c r="V17" i="178"/>
  <c r="U17" i="178"/>
  <c r="O17" i="178"/>
  <c r="M17" i="178"/>
  <c r="N17" i="178" s="1"/>
  <c r="P17" i="178" s="1"/>
  <c r="K17" i="178"/>
  <c r="G17" i="178"/>
  <c r="AF16" i="178"/>
  <c r="AE16" i="178"/>
  <c r="V16" i="178"/>
  <c r="U16" i="178"/>
  <c r="O16" i="178"/>
  <c r="N16" i="178"/>
  <c r="Q16" i="178" s="1"/>
  <c r="M16" i="178"/>
  <c r="K16" i="178"/>
  <c r="G16" i="178"/>
  <c r="AF15" i="178"/>
  <c r="AE15" i="178"/>
  <c r="V15" i="178"/>
  <c r="U15" i="178"/>
  <c r="O15" i="178"/>
  <c r="M15" i="178"/>
  <c r="N15" i="178" s="1"/>
  <c r="P15" i="178" s="1"/>
  <c r="K15" i="178"/>
  <c r="G15" i="178"/>
  <c r="AF14" i="178"/>
  <c r="AE14" i="178"/>
  <c r="X14" i="178"/>
  <c r="W14" i="178"/>
  <c r="V14" i="178"/>
  <c r="Q14" i="178"/>
  <c r="P14" i="178"/>
  <c r="O14" i="178"/>
  <c r="N14" i="178"/>
  <c r="M14" i="178"/>
  <c r="K14" i="178"/>
  <c r="G14" i="178"/>
  <c r="AD13" i="178"/>
  <c r="Z13" i="178"/>
  <c r="Y13" i="178"/>
  <c r="O13" i="178"/>
  <c r="M13" i="178"/>
  <c r="AF13" i="178" s="1"/>
  <c r="K13" i="178"/>
  <c r="AF12" i="178"/>
  <c r="AE12" i="178"/>
  <c r="V12" i="178"/>
  <c r="U12" i="178"/>
  <c r="O12" i="178"/>
  <c r="N12" i="178"/>
  <c r="Q12" i="178" s="1"/>
  <c r="M12" i="178"/>
  <c r="K12" i="178"/>
  <c r="G12" i="178"/>
  <c r="AF11" i="178"/>
  <c r="AE11" i="178"/>
  <c r="X11" i="178"/>
  <c r="W11" i="178"/>
  <c r="V11" i="178"/>
  <c r="U11" i="178"/>
  <c r="O11" i="178"/>
  <c r="N11" i="178"/>
  <c r="Q11" i="178" s="1"/>
  <c r="M11" i="178"/>
  <c r="K11" i="178"/>
  <c r="G11" i="178"/>
  <c r="AF10" i="178"/>
  <c r="AE10" i="178"/>
  <c r="V10" i="178"/>
  <c r="U10" i="178"/>
  <c r="O10" i="178"/>
  <c r="M10" i="178"/>
  <c r="N10" i="178" s="1"/>
  <c r="P10" i="178" s="1"/>
  <c r="K10" i="178"/>
  <c r="G10" i="178"/>
  <c r="AF9" i="178"/>
  <c r="AE9" i="178"/>
  <c r="V9" i="178"/>
  <c r="U9" i="178"/>
  <c r="O9" i="178"/>
  <c r="N9" i="178"/>
  <c r="Q9" i="178" s="1"/>
  <c r="M9" i="178"/>
  <c r="K9" i="178"/>
  <c r="G9" i="178"/>
  <c r="AG8" i="178"/>
  <c r="AF8" i="178"/>
  <c r="AE8" i="178"/>
  <c r="X8" i="178"/>
  <c r="W8" i="178"/>
  <c r="V8" i="178"/>
  <c r="O8" i="178"/>
  <c r="N8" i="178"/>
  <c r="Q8" i="178" s="1"/>
  <c r="M8" i="178"/>
  <c r="K8" i="178"/>
  <c r="G8" i="178"/>
  <c r="AD7" i="178"/>
  <c r="Z7" i="178"/>
  <c r="Y7" i="178"/>
  <c r="O7" i="178"/>
  <c r="N7" i="178"/>
  <c r="K7" i="178"/>
  <c r="AF6" i="178"/>
  <c r="AE6" i="178"/>
  <c r="V6" i="178"/>
  <c r="U6" i="178"/>
  <c r="O6" i="178"/>
  <c r="N6" i="178"/>
  <c r="Q6" i="178" s="1"/>
  <c r="M6" i="178"/>
  <c r="K6" i="178"/>
  <c r="G6" i="178"/>
  <c r="AF5" i="178"/>
  <c r="AE5" i="178"/>
  <c r="V5" i="178"/>
  <c r="Q5" i="178"/>
  <c r="P5" i="178"/>
  <c r="O5" i="178"/>
  <c r="N5" i="178"/>
  <c r="M5" i="178"/>
  <c r="M7" i="178" s="1"/>
  <c r="K5" i="178"/>
  <c r="G5" i="178"/>
  <c r="AD2" i="178"/>
  <c r="N6" i="177" s="1"/>
  <c r="Z2" i="178"/>
  <c r="L6" i="177" s="1"/>
  <c r="Y2" i="178"/>
  <c r="K6" i="177" s="1"/>
  <c r="H2" i="178"/>
  <c r="H1" i="178"/>
  <c r="D1" i="178"/>
  <c r="F3" i="177" s="1"/>
  <c r="M22" i="177"/>
  <c r="L22" i="177"/>
  <c r="K22" i="177"/>
  <c r="J22" i="177"/>
  <c r="I22" i="177"/>
  <c r="H22" i="177"/>
  <c r="G22" i="177"/>
  <c r="F22" i="177"/>
  <c r="E22" i="177"/>
  <c r="D22" i="177"/>
  <c r="M21" i="177"/>
  <c r="L21" i="177"/>
  <c r="K21" i="177"/>
  <c r="J21" i="177"/>
  <c r="I21" i="177"/>
  <c r="H21" i="177"/>
  <c r="G21" i="177"/>
  <c r="F21" i="177"/>
  <c r="E21" i="177"/>
  <c r="D21" i="177"/>
  <c r="M20" i="177"/>
  <c r="L20" i="177"/>
  <c r="K20" i="177"/>
  <c r="J20" i="177"/>
  <c r="I20" i="177"/>
  <c r="H20" i="177"/>
  <c r="G20" i="177"/>
  <c r="F20" i="177"/>
  <c r="E20" i="177"/>
  <c r="D20" i="177"/>
  <c r="M19" i="177"/>
  <c r="L19" i="177"/>
  <c r="K19" i="177"/>
  <c r="J19" i="177"/>
  <c r="I19" i="177"/>
  <c r="H19" i="177"/>
  <c r="G19" i="177"/>
  <c r="F19" i="177"/>
  <c r="E19" i="177"/>
  <c r="D19" i="177"/>
  <c r="M18" i="177"/>
  <c r="L18" i="177"/>
  <c r="K18" i="177"/>
  <c r="J18" i="177"/>
  <c r="I18" i="177"/>
  <c r="H18" i="177"/>
  <c r="G18" i="177"/>
  <c r="F18" i="177"/>
  <c r="E18" i="177"/>
  <c r="D18" i="177"/>
  <c r="M17" i="177"/>
  <c r="L17" i="177"/>
  <c r="K17" i="177"/>
  <c r="J17" i="177"/>
  <c r="I17" i="177"/>
  <c r="H17" i="177"/>
  <c r="G17" i="177"/>
  <c r="F17" i="177"/>
  <c r="E17" i="177"/>
  <c r="D17" i="177"/>
  <c r="M16" i="177"/>
  <c r="L16" i="177"/>
  <c r="K16" i="177"/>
  <c r="J16" i="177"/>
  <c r="I16" i="177"/>
  <c r="H16" i="177"/>
  <c r="G16" i="177"/>
  <c r="F16" i="177"/>
  <c r="E16" i="177"/>
  <c r="D16" i="177"/>
  <c r="M13" i="177"/>
  <c r="L13" i="177"/>
  <c r="K13" i="177"/>
  <c r="I6" i="177" s="1"/>
  <c r="J13" i="177"/>
  <c r="I13" i="177"/>
  <c r="H13" i="177"/>
  <c r="G13" i="177"/>
  <c r="F13" i="177"/>
  <c r="G6" i="177" s="1"/>
  <c r="E13" i="177"/>
  <c r="D13" i="177"/>
  <c r="M6" i="177"/>
  <c r="C3" i="177"/>
  <c r="E8" i="185" l="1"/>
  <c r="G8" i="185"/>
  <c r="F8" i="185"/>
  <c r="D15" i="183"/>
  <c r="E7" i="183"/>
  <c r="G7" i="183"/>
  <c r="F7" i="183"/>
  <c r="K15" i="183"/>
  <c r="I8" i="183" s="1"/>
  <c r="I7" i="183"/>
  <c r="AF70" i="178"/>
  <c r="AE70" i="178"/>
  <c r="N70" i="178"/>
  <c r="P70" i="178" s="1"/>
  <c r="F2" i="178"/>
  <c r="N69" i="178"/>
  <c r="Q69" i="178" s="1"/>
  <c r="M71" i="178"/>
  <c r="AF71" i="178" s="1"/>
  <c r="AG64" i="178" s="1"/>
  <c r="AF69" i="178"/>
  <c r="Q35" i="182"/>
  <c r="R29" i="182" s="1"/>
  <c r="P35" i="182"/>
  <c r="K14" i="181"/>
  <c r="P28" i="182"/>
  <c r="Q28" i="182"/>
  <c r="R22" i="182" s="1"/>
  <c r="G14" i="181"/>
  <c r="G15" i="181" s="1"/>
  <c r="Q21" i="182"/>
  <c r="R14" i="182" s="1"/>
  <c r="P21" i="182"/>
  <c r="F14" i="181"/>
  <c r="F15" i="181" s="1"/>
  <c r="E14" i="181"/>
  <c r="Q13" i="182"/>
  <c r="R8" i="182" s="1"/>
  <c r="P13" i="182"/>
  <c r="D2" i="182"/>
  <c r="I14" i="181"/>
  <c r="I15" i="181" s="1"/>
  <c r="Q56" i="182"/>
  <c r="R48" i="182" s="1"/>
  <c r="P56" i="182"/>
  <c r="Q42" i="182"/>
  <c r="R36" i="182" s="1"/>
  <c r="P42" i="182"/>
  <c r="L14" i="181"/>
  <c r="L15" i="181" s="1"/>
  <c r="Q69" i="182"/>
  <c r="R62" i="182" s="1"/>
  <c r="P69" i="182"/>
  <c r="M14" i="181"/>
  <c r="M15" i="181" s="1"/>
  <c r="Q39" i="180"/>
  <c r="P39" i="180"/>
  <c r="Q36" i="180"/>
  <c r="P36" i="180"/>
  <c r="Q55" i="180"/>
  <c r="P55" i="180"/>
  <c r="Q41" i="180"/>
  <c r="P41" i="180"/>
  <c r="N21" i="180"/>
  <c r="AF21" i="180"/>
  <c r="AG14" i="180" s="1"/>
  <c r="AE21" i="180"/>
  <c r="N56" i="180"/>
  <c r="AF56" i="180"/>
  <c r="AG48" i="180" s="1"/>
  <c r="AE56" i="180"/>
  <c r="Q49" i="180"/>
  <c r="P49" i="180"/>
  <c r="AE28" i="180"/>
  <c r="AF28" i="180"/>
  <c r="AG22" i="180" s="1"/>
  <c r="N28" i="180"/>
  <c r="Q48" i="180"/>
  <c r="P48" i="180"/>
  <c r="Q18" i="180"/>
  <c r="P18" i="180"/>
  <c r="K14" i="179"/>
  <c r="Q35" i="180"/>
  <c r="R29" i="180" s="1"/>
  <c r="P35" i="180"/>
  <c r="Q25" i="180"/>
  <c r="P25" i="180"/>
  <c r="AE42" i="180"/>
  <c r="N42" i="180"/>
  <c r="AF42" i="180"/>
  <c r="AG36" i="180" s="1"/>
  <c r="E14" i="179"/>
  <c r="Q13" i="180"/>
  <c r="R8" i="180" s="1"/>
  <c r="P13" i="180"/>
  <c r="Q49" i="178"/>
  <c r="R45" i="178" s="1"/>
  <c r="P49" i="178"/>
  <c r="H14" i="177"/>
  <c r="H15" i="177" s="1"/>
  <c r="Q10" i="178"/>
  <c r="P12" i="178"/>
  <c r="Q66" i="178"/>
  <c r="P66" i="178"/>
  <c r="AF21" i="178"/>
  <c r="AG14" i="178" s="1"/>
  <c r="AE21" i="178"/>
  <c r="N21" i="178"/>
  <c r="Q36" i="178"/>
  <c r="R29" i="178" s="1"/>
  <c r="P36" i="178"/>
  <c r="P38" i="178"/>
  <c r="P40" i="178"/>
  <c r="P65" i="178"/>
  <c r="Q65" i="178"/>
  <c r="K14" i="177"/>
  <c r="Q17" i="178"/>
  <c r="Q19" i="178"/>
  <c r="P28" i="178"/>
  <c r="Q52" i="178"/>
  <c r="Q31" i="178"/>
  <c r="N63" i="178"/>
  <c r="AF63" i="178"/>
  <c r="AG59" i="178" s="1"/>
  <c r="AE63" i="178"/>
  <c r="Q68" i="178"/>
  <c r="AF49" i="178"/>
  <c r="AG45" i="178" s="1"/>
  <c r="AE49" i="178"/>
  <c r="D14" i="177"/>
  <c r="Q15" i="178"/>
  <c r="Q28" i="178"/>
  <c r="R22" i="178" s="1"/>
  <c r="AF7" i="178"/>
  <c r="AG5" i="178" s="1"/>
  <c r="AE7" i="178"/>
  <c r="AF28" i="178"/>
  <c r="AG22" i="178" s="1"/>
  <c r="AE28" i="178"/>
  <c r="P26" i="178"/>
  <c r="AF58" i="178"/>
  <c r="AG50" i="178" s="1"/>
  <c r="AE58" i="178"/>
  <c r="P7" i="178"/>
  <c r="P47" i="178"/>
  <c r="N58" i="178"/>
  <c r="Q7" i="178"/>
  <c r="R5" i="178" s="1"/>
  <c r="P37" i="178"/>
  <c r="P42" i="178"/>
  <c r="P18" i="178"/>
  <c r="P27" i="178"/>
  <c r="P55" i="178"/>
  <c r="P64" i="178"/>
  <c r="P8" i="178"/>
  <c r="P20" i="178"/>
  <c r="P29" i="178"/>
  <c r="P34" i="178"/>
  <c r="P41" i="178"/>
  <c r="AF44" i="178"/>
  <c r="AG37" i="178" s="1"/>
  <c r="P48" i="178"/>
  <c r="P57" i="178"/>
  <c r="N44" i="178"/>
  <c r="P9" i="178"/>
  <c r="P23" i="178"/>
  <c r="P30" i="178"/>
  <c r="P51" i="178"/>
  <c r="P60" i="178"/>
  <c r="P67" i="178"/>
  <c r="I3" i="177"/>
  <c r="P6" i="178"/>
  <c r="P39" i="178"/>
  <c r="P46" i="178"/>
  <c r="P22" i="178"/>
  <c r="P50" i="178"/>
  <c r="P59" i="178"/>
  <c r="N24" i="178"/>
  <c r="N61" i="178"/>
  <c r="E6" i="177"/>
  <c r="P11" i="178"/>
  <c r="P16" i="178"/>
  <c r="P25" i="178"/>
  <c r="P32" i="178"/>
  <c r="P53" i="178"/>
  <c r="P62" i="178"/>
  <c r="F6" i="177"/>
  <c r="N13" i="178"/>
  <c r="AE13" i="178"/>
  <c r="P43" i="178"/>
  <c r="AD75" i="176"/>
  <c r="Z75" i="176"/>
  <c r="Y75" i="176"/>
  <c r="O75" i="176"/>
  <c r="K75" i="176"/>
  <c r="V74" i="176"/>
  <c r="U74" i="176"/>
  <c r="O74" i="176"/>
  <c r="M74" i="176"/>
  <c r="AF74" i="176" s="1"/>
  <c r="K74" i="176"/>
  <c r="G74" i="176"/>
  <c r="V73" i="176"/>
  <c r="U73" i="176"/>
  <c r="O73" i="176"/>
  <c r="M73" i="176"/>
  <c r="AF73" i="176" s="1"/>
  <c r="K73" i="176"/>
  <c r="G73" i="176"/>
  <c r="V72" i="176"/>
  <c r="M72" i="176" s="1"/>
  <c r="N72" i="176" s="1"/>
  <c r="U72" i="176"/>
  <c r="Q72" i="176"/>
  <c r="P72" i="176"/>
  <c r="O72" i="176"/>
  <c r="K72" i="176"/>
  <c r="G72" i="176"/>
  <c r="X71" i="176"/>
  <c r="W71" i="176"/>
  <c r="V71" i="176"/>
  <c r="U71" i="176"/>
  <c r="O71" i="176"/>
  <c r="M71" i="176"/>
  <c r="K71" i="176"/>
  <c r="G71" i="176"/>
  <c r="AF70" i="176"/>
  <c r="AE70" i="176"/>
  <c r="V70" i="176"/>
  <c r="M70" i="176" s="1"/>
  <c r="N70" i="176" s="1"/>
  <c r="U70" i="176"/>
  <c r="O70" i="176"/>
  <c r="K70" i="176"/>
  <c r="G70" i="176"/>
  <c r="V69" i="176"/>
  <c r="U69" i="176"/>
  <c r="O69" i="176"/>
  <c r="M69" i="176"/>
  <c r="K69" i="176"/>
  <c r="G69" i="176"/>
  <c r="AF68" i="176"/>
  <c r="AE68" i="176"/>
  <c r="V68" i="176"/>
  <c r="U68" i="176"/>
  <c r="Q68" i="176"/>
  <c r="P68" i="176"/>
  <c r="O68" i="176"/>
  <c r="N68" i="176"/>
  <c r="M68" i="176"/>
  <c r="K68" i="176"/>
  <c r="G68" i="176"/>
  <c r="X67" i="176"/>
  <c r="W67" i="176"/>
  <c r="V67" i="176"/>
  <c r="M67" i="176" s="1"/>
  <c r="O67" i="176"/>
  <c r="K67" i="176"/>
  <c r="G67" i="176"/>
  <c r="AD66" i="176"/>
  <c r="Z66" i="176"/>
  <c r="Y66" i="176"/>
  <c r="O66" i="176"/>
  <c r="K66" i="176"/>
  <c r="V65" i="176"/>
  <c r="M65" i="176" s="1"/>
  <c r="N65" i="176" s="1"/>
  <c r="P65" i="176" s="1"/>
  <c r="U65" i="176"/>
  <c r="Q65" i="176"/>
  <c r="O65" i="176"/>
  <c r="K65" i="176"/>
  <c r="G65" i="176"/>
  <c r="V64" i="176"/>
  <c r="U64" i="176"/>
  <c r="O64" i="176"/>
  <c r="M64" i="176"/>
  <c r="K64" i="176"/>
  <c r="G64" i="176"/>
  <c r="V63" i="176"/>
  <c r="M63" i="176" s="1"/>
  <c r="N63" i="176" s="1"/>
  <c r="U63" i="176"/>
  <c r="O63" i="176"/>
  <c r="K63" i="176"/>
  <c r="G63" i="176"/>
  <c r="V62" i="176"/>
  <c r="O62" i="176"/>
  <c r="M62" i="176"/>
  <c r="N62" i="176" s="1"/>
  <c r="K62" i="176"/>
  <c r="G62" i="176"/>
  <c r="AD61" i="176"/>
  <c r="Z61" i="176"/>
  <c r="Y61" i="176"/>
  <c r="O61" i="176"/>
  <c r="K61" i="176"/>
  <c r="V60" i="176"/>
  <c r="U60" i="176"/>
  <c r="O60" i="176"/>
  <c r="M60" i="176"/>
  <c r="AF60" i="176" s="1"/>
  <c r="K60" i="176"/>
  <c r="G60" i="176"/>
  <c r="V59" i="176"/>
  <c r="U59" i="176"/>
  <c r="O59" i="176"/>
  <c r="M59" i="176"/>
  <c r="AF59" i="176" s="1"/>
  <c r="K59" i="176"/>
  <c r="G59" i="176"/>
  <c r="AE58" i="176"/>
  <c r="V58" i="176"/>
  <c r="M58" i="176" s="1"/>
  <c r="N58" i="176" s="1"/>
  <c r="U58" i="176"/>
  <c r="Q58" i="176"/>
  <c r="P58" i="176"/>
  <c r="O58" i="176"/>
  <c r="K58" i="176"/>
  <c r="G58" i="176"/>
  <c r="V57" i="176"/>
  <c r="U57" i="176"/>
  <c r="O57" i="176"/>
  <c r="M57" i="176"/>
  <c r="K57" i="176"/>
  <c r="G57" i="176"/>
  <c r="V56" i="176"/>
  <c r="M56" i="176" s="1"/>
  <c r="N56" i="176" s="1"/>
  <c r="P56" i="176" s="1"/>
  <c r="U56" i="176"/>
  <c r="O56" i="176"/>
  <c r="K56" i="176"/>
  <c r="G56" i="176"/>
  <c r="V55" i="176"/>
  <c r="U55" i="176"/>
  <c r="O55" i="176"/>
  <c r="M55" i="176"/>
  <c r="K55" i="176"/>
  <c r="G55" i="176"/>
  <c r="V54" i="176"/>
  <c r="M54" i="176" s="1"/>
  <c r="N54" i="176" s="1"/>
  <c r="U54" i="176"/>
  <c r="O54" i="176"/>
  <c r="K54" i="176"/>
  <c r="G54" i="176"/>
  <c r="V53" i="176"/>
  <c r="M53" i="176" s="1"/>
  <c r="O53" i="176"/>
  <c r="K53" i="176"/>
  <c r="G53" i="176"/>
  <c r="AD52" i="176"/>
  <c r="Z52" i="176"/>
  <c r="Y52" i="176"/>
  <c r="O52" i="176"/>
  <c r="K52" i="176"/>
  <c r="V51" i="176"/>
  <c r="M51" i="176" s="1"/>
  <c r="U51" i="176"/>
  <c r="O51" i="176"/>
  <c r="K51" i="176"/>
  <c r="G51" i="176"/>
  <c r="V50" i="176"/>
  <c r="U50" i="176"/>
  <c r="O50" i="176"/>
  <c r="M50" i="176"/>
  <c r="AF50" i="176" s="1"/>
  <c r="K50" i="176"/>
  <c r="G50" i="176"/>
  <c r="V49" i="176"/>
  <c r="M49" i="176" s="1"/>
  <c r="N49" i="176" s="1"/>
  <c r="U49" i="176"/>
  <c r="Q49" i="176"/>
  <c r="P49" i="176"/>
  <c r="O49" i="176"/>
  <c r="K49" i="176"/>
  <c r="G49" i="176"/>
  <c r="V48" i="176"/>
  <c r="O48" i="176"/>
  <c r="N48" i="176"/>
  <c r="M48" i="176"/>
  <c r="K48" i="176"/>
  <c r="G48" i="176"/>
  <c r="AD47" i="176"/>
  <c r="Z47" i="176"/>
  <c r="Y47" i="176"/>
  <c r="O47" i="176"/>
  <c r="K47" i="176"/>
  <c r="V46" i="176"/>
  <c r="U46" i="176"/>
  <c r="O46" i="176"/>
  <c r="M46" i="176"/>
  <c r="K46" i="176"/>
  <c r="G46" i="176"/>
  <c r="AF45" i="176"/>
  <c r="AE45" i="176"/>
  <c r="V45" i="176"/>
  <c r="U45" i="176"/>
  <c r="Q45" i="176"/>
  <c r="P45" i="176"/>
  <c r="O45" i="176"/>
  <c r="N45" i="176"/>
  <c r="M45" i="176"/>
  <c r="K45" i="176"/>
  <c r="G45" i="176"/>
  <c r="V44" i="176"/>
  <c r="U44" i="176"/>
  <c r="O44" i="176"/>
  <c r="M44" i="176"/>
  <c r="K44" i="176"/>
  <c r="G44" i="176"/>
  <c r="X43" i="176"/>
  <c r="W43" i="176"/>
  <c r="V43" i="176"/>
  <c r="U43" i="176"/>
  <c r="O43" i="176"/>
  <c r="M43" i="176"/>
  <c r="AF43" i="176" s="1"/>
  <c r="K43" i="176"/>
  <c r="G43" i="176"/>
  <c r="V42" i="176"/>
  <c r="M42" i="176" s="1"/>
  <c r="N42" i="176" s="1"/>
  <c r="U42" i="176"/>
  <c r="Q42" i="176"/>
  <c r="P42" i="176"/>
  <c r="O42" i="176"/>
  <c r="K42" i="176"/>
  <c r="G42" i="176"/>
  <c r="V41" i="176"/>
  <c r="U41" i="176"/>
  <c r="O41" i="176"/>
  <c r="N41" i="176"/>
  <c r="M41" i="176"/>
  <c r="K41" i="176"/>
  <c r="G41" i="176"/>
  <c r="AF40" i="176"/>
  <c r="V40" i="176"/>
  <c r="M40" i="176" s="1"/>
  <c r="N40" i="176" s="1"/>
  <c r="P40" i="176" s="1"/>
  <c r="U40" i="176"/>
  <c r="Q40" i="176"/>
  <c r="O40" i="176"/>
  <c r="K40" i="176"/>
  <c r="G40" i="176"/>
  <c r="X39" i="176"/>
  <c r="W39" i="176"/>
  <c r="V39" i="176"/>
  <c r="M39" i="176" s="1"/>
  <c r="O39" i="176"/>
  <c r="K39" i="176"/>
  <c r="G39" i="176"/>
  <c r="AD38" i="176"/>
  <c r="Z38" i="176"/>
  <c r="Y38" i="176"/>
  <c r="O38" i="176"/>
  <c r="K38" i="176"/>
  <c r="V37" i="176"/>
  <c r="U37" i="176"/>
  <c r="O37" i="176"/>
  <c r="M37" i="176"/>
  <c r="AE37" i="176" s="1"/>
  <c r="K37" i="176"/>
  <c r="G37" i="176"/>
  <c r="V36" i="176"/>
  <c r="U36" i="176"/>
  <c r="O36" i="176"/>
  <c r="M36" i="176"/>
  <c r="AF36" i="176" s="1"/>
  <c r="K36" i="176"/>
  <c r="G36" i="176"/>
  <c r="X35" i="176"/>
  <c r="W35" i="176"/>
  <c r="V35" i="176"/>
  <c r="M35" i="176" s="1"/>
  <c r="N35" i="176" s="1"/>
  <c r="P35" i="176" s="1"/>
  <c r="U35" i="176"/>
  <c r="Q35" i="176"/>
  <c r="O35" i="176"/>
  <c r="K35" i="176"/>
  <c r="G35" i="176"/>
  <c r="V34" i="176"/>
  <c r="U34" i="176"/>
  <c r="O34" i="176"/>
  <c r="M34" i="176"/>
  <c r="K34" i="176"/>
  <c r="G34" i="176"/>
  <c r="AE33" i="176"/>
  <c r="V33" i="176"/>
  <c r="M33" i="176" s="1"/>
  <c r="N33" i="176" s="1"/>
  <c r="U33" i="176"/>
  <c r="O33" i="176"/>
  <c r="K33" i="176"/>
  <c r="G33" i="176"/>
  <c r="V32" i="176"/>
  <c r="U32" i="176"/>
  <c r="O32" i="176"/>
  <c r="M32" i="176"/>
  <c r="K32" i="176"/>
  <c r="G32" i="176"/>
  <c r="X31" i="176"/>
  <c r="W31" i="176"/>
  <c r="V31" i="176"/>
  <c r="O31" i="176"/>
  <c r="M31" i="176"/>
  <c r="AF31" i="176" s="1"/>
  <c r="K31" i="176"/>
  <c r="G31" i="176"/>
  <c r="AD30" i="176"/>
  <c r="G21" i="175" s="1"/>
  <c r="Z30" i="176"/>
  <c r="G19" i="175" s="1"/>
  <c r="Y30" i="176"/>
  <c r="G18" i="175" s="1"/>
  <c r="O30" i="176"/>
  <c r="K30" i="176"/>
  <c r="V29" i="176"/>
  <c r="U29" i="176"/>
  <c r="O29" i="176"/>
  <c r="M29" i="176"/>
  <c r="K29" i="176"/>
  <c r="G29" i="176"/>
  <c r="X28" i="176"/>
  <c r="W28" i="176"/>
  <c r="V28" i="176"/>
  <c r="M28" i="176" s="1"/>
  <c r="N28" i="176" s="1"/>
  <c r="U28" i="176"/>
  <c r="O28" i="176"/>
  <c r="K28" i="176"/>
  <c r="G28" i="176"/>
  <c r="V27" i="176"/>
  <c r="U27" i="176"/>
  <c r="O27" i="176"/>
  <c r="M27" i="176"/>
  <c r="K27" i="176"/>
  <c r="G27" i="176"/>
  <c r="AF26" i="176"/>
  <c r="AE26" i="176"/>
  <c r="V26" i="176"/>
  <c r="U26" i="176"/>
  <c r="Q26" i="176"/>
  <c r="P26" i="176"/>
  <c r="O26" i="176"/>
  <c r="N26" i="176"/>
  <c r="M26" i="176"/>
  <c r="K26" i="176"/>
  <c r="G26" i="176"/>
  <c r="V25" i="176"/>
  <c r="M25" i="176" s="1"/>
  <c r="U25" i="176"/>
  <c r="O25" i="176"/>
  <c r="K25" i="176"/>
  <c r="G25" i="176"/>
  <c r="AE24" i="176"/>
  <c r="V24" i="176"/>
  <c r="U24" i="176"/>
  <c r="O24" i="176"/>
  <c r="M24" i="176"/>
  <c r="AF24" i="176" s="1"/>
  <c r="K24" i="176"/>
  <c r="G24" i="176"/>
  <c r="V23" i="176"/>
  <c r="M23" i="176" s="1"/>
  <c r="O23" i="176"/>
  <c r="K23" i="176"/>
  <c r="G23" i="176"/>
  <c r="AD22" i="176"/>
  <c r="Z22" i="176"/>
  <c r="Y22" i="176"/>
  <c r="O22" i="176"/>
  <c r="K22" i="176"/>
  <c r="V21" i="176"/>
  <c r="M21" i="176" s="1"/>
  <c r="N21" i="176" s="1"/>
  <c r="P21" i="176" s="1"/>
  <c r="U21" i="176"/>
  <c r="Q21" i="176"/>
  <c r="O21" i="176"/>
  <c r="K21" i="176"/>
  <c r="G21" i="176"/>
  <c r="V20" i="176"/>
  <c r="U20" i="176"/>
  <c r="Q20" i="176"/>
  <c r="P20" i="176"/>
  <c r="O20" i="176"/>
  <c r="N20" i="176"/>
  <c r="M20" i="176"/>
  <c r="K20" i="176"/>
  <c r="G20" i="176"/>
  <c r="AF19" i="176"/>
  <c r="V19" i="176"/>
  <c r="M19" i="176" s="1"/>
  <c r="N19" i="176" s="1"/>
  <c r="U19" i="176"/>
  <c r="O19" i="176"/>
  <c r="K19" i="176"/>
  <c r="G19" i="176"/>
  <c r="V18" i="176"/>
  <c r="U18" i="176"/>
  <c r="O18" i="176"/>
  <c r="M18" i="176"/>
  <c r="K18" i="176"/>
  <c r="G18" i="176"/>
  <c r="AF17" i="176"/>
  <c r="AE17" i="176"/>
  <c r="V17" i="176"/>
  <c r="U17" i="176"/>
  <c r="Q17" i="176"/>
  <c r="P17" i="176"/>
  <c r="O17" i="176"/>
  <c r="N17" i="176"/>
  <c r="M17" i="176"/>
  <c r="K17" i="176"/>
  <c r="G17" i="176"/>
  <c r="V16" i="176"/>
  <c r="M16" i="176" s="1"/>
  <c r="U16" i="176"/>
  <c r="O16" i="176"/>
  <c r="K16" i="176"/>
  <c r="G16" i="176"/>
  <c r="X15" i="176"/>
  <c r="W15" i="176"/>
  <c r="V15" i="176"/>
  <c r="O15" i="176"/>
  <c r="M15" i="176"/>
  <c r="K15" i="176"/>
  <c r="G15" i="176"/>
  <c r="AD14" i="176"/>
  <c r="E21" i="175" s="1"/>
  <c r="Z14" i="176"/>
  <c r="E19" i="175" s="1"/>
  <c r="Y14" i="176"/>
  <c r="E18" i="175" s="1"/>
  <c r="O14" i="176"/>
  <c r="K14" i="176"/>
  <c r="V13" i="176"/>
  <c r="U13" i="176"/>
  <c r="O13" i="176"/>
  <c r="M13" i="176"/>
  <c r="K13" i="176"/>
  <c r="G13" i="176"/>
  <c r="V12" i="176"/>
  <c r="M12" i="176" s="1"/>
  <c r="N12" i="176" s="1"/>
  <c r="U12" i="176"/>
  <c r="O12" i="176"/>
  <c r="K12" i="176"/>
  <c r="G12" i="176"/>
  <c r="X11" i="176"/>
  <c r="W11" i="176"/>
  <c r="V11" i="176"/>
  <c r="M11" i="176" s="1"/>
  <c r="U11" i="176"/>
  <c r="O11" i="176"/>
  <c r="K11" i="176"/>
  <c r="G11" i="176"/>
  <c r="AE10" i="176"/>
  <c r="V10" i="176"/>
  <c r="U10" i="176"/>
  <c r="O10" i="176"/>
  <c r="M10" i="176"/>
  <c r="AF10" i="176" s="1"/>
  <c r="K10" i="176"/>
  <c r="G10" i="176"/>
  <c r="V9" i="176"/>
  <c r="M9" i="176" s="1"/>
  <c r="AE9" i="176" s="1"/>
  <c r="U9" i="176"/>
  <c r="O9" i="176"/>
  <c r="N9" i="176"/>
  <c r="Q9" i="176" s="1"/>
  <c r="K9" i="176"/>
  <c r="G9" i="176"/>
  <c r="X8" i="176"/>
  <c r="W8" i="176"/>
  <c r="V8" i="176"/>
  <c r="O8" i="176"/>
  <c r="M8" i="176"/>
  <c r="K8" i="176"/>
  <c r="G8" i="176"/>
  <c r="AD7" i="176"/>
  <c r="D21" i="175" s="1"/>
  <c r="Z7" i="176"/>
  <c r="Y7" i="176"/>
  <c r="O7" i="176"/>
  <c r="K7" i="176"/>
  <c r="V6" i="176"/>
  <c r="M6" i="176" s="1"/>
  <c r="U6" i="176"/>
  <c r="O6" i="176"/>
  <c r="K6" i="176"/>
  <c r="G6" i="176"/>
  <c r="AF5" i="176"/>
  <c r="AE5" i="176"/>
  <c r="V5" i="176"/>
  <c r="O5" i="176"/>
  <c r="N5" i="176"/>
  <c r="Q5" i="176" s="1"/>
  <c r="M5" i="176"/>
  <c r="K5" i="176"/>
  <c r="G5" i="176"/>
  <c r="F1" i="176" s="1"/>
  <c r="AD2" i="176"/>
  <c r="N6" i="175" s="1"/>
  <c r="AC2" i="176"/>
  <c r="M6" i="175" s="1"/>
  <c r="Z2" i="176"/>
  <c r="L6" i="175" s="1"/>
  <c r="H2" i="176"/>
  <c r="H1" i="176"/>
  <c r="D1" i="176"/>
  <c r="M22" i="175"/>
  <c r="L22" i="175"/>
  <c r="K22" i="175"/>
  <c r="J22" i="175"/>
  <c r="I22" i="175"/>
  <c r="H22" i="175"/>
  <c r="G22" i="175"/>
  <c r="F22" i="175"/>
  <c r="E22" i="175"/>
  <c r="D22" i="175"/>
  <c r="M21" i="175"/>
  <c r="L21" i="175"/>
  <c r="K21" i="175"/>
  <c r="J21" i="175"/>
  <c r="I21" i="175"/>
  <c r="H21" i="175"/>
  <c r="F21" i="175"/>
  <c r="M20" i="175"/>
  <c r="L20" i="175"/>
  <c r="K20" i="175"/>
  <c r="J20" i="175"/>
  <c r="I20" i="175"/>
  <c r="H20" i="175"/>
  <c r="G20" i="175"/>
  <c r="F20" i="175"/>
  <c r="E20" i="175"/>
  <c r="D20" i="175"/>
  <c r="M19" i="175"/>
  <c r="L19" i="175"/>
  <c r="K19" i="175"/>
  <c r="J19" i="175"/>
  <c r="I19" i="175"/>
  <c r="H19" i="175"/>
  <c r="F19" i="175"/>
  <c r="D19" i="175"/>
  <c r="M18" i="175"/>
  <c r="L18" i="175"/>
  <c r="K18" i="175"/>
  <c r="J18" i="175"/>
  <c r="I18" i="175"/>
  <c r="H18" i="175"/>
  <c r="F18" i="175"/>
  <c r="D18" i="175"/>
  <c r="M17" i="175"/>
  <c r="L17" i="175"/>
  <c r="K17" i="175"/>
  <c r="J17" i="175"/>
  <c r="I17" i="175"/>
  <c r="H17" i="175"/>
  <c r="G17" i="175"/>
  <c r="F17" i="175"/>
  <c r="E17" i="175"/>
  <c r="D17" i="175"/>
  <c r="M16" i="175"/>
  <c r="L16" i="175"/>
  <c r="K16" i="175"/>
  <c r="J16" i="175"/>
  <c r="I16" i="175"/>
  <c r="H16" i="175"/>
  <c r="G16" i="175"/>
  <c r="F16" i="175"/>
  <c r="E16" i="175"/>
  <c r="D16" i="175"/>
  <c r="M13" i="175"/>
  <c r="L13" i="175"/>
  <c r="K13" i="175"/>
  <c r="J13" i="175"/>
  <c r="I13" i="175"/>
  <c r="H13" i="175"/>
  <c r="G13" i="175"/>
  <c r="F13" i="175"/>
  <c r="E13" i="175"/>
  <c r="D13" i="175"/>
  <c r="I6" i="175"/>
  <c r="G6" i="175"/>
  <c r="F6" i="175"/>
  <c r="E6" i="175"/>
  <c r="F3" i="175"/>
  <c r="C3" i="175"/>
  <c r="G8" i="183" l="1"/>
  <c r="F8" i="183"/>
  <c r="E8" i="183"/>
  <c r="AE71" i="178"/>
  <c r="Q70" i="178"/>
  <c r="N71" i="178"/>
  <c r="Q71" i="178" s="1"/>
  <c r="R64" i="178" s="1"/>
  <c r="P69" i="178"/>
  <c r="E15" i="181"/>
  <c r="G7" i="181"/>
  <c r="F7" i="181"/>
  <c r="E7" i="181"/>
  <c r="K15" i="181"/>
  <c r="I8" i="181" s="1"/>
  <c r="I7" i="181"/>
  <c r="Q28" i="180"/>
  <c r="R22" i="180" s="1"/>
  <c r="P28" i="180"/>
  <c r="G14" i="179"/>
  <c r="G15" i="179" s="1"/>
  <c r="P56" i="180"/>
  <c r="Q56" i="180"/>
  <c r="R48" i="180" s="1"/>
  <c r="I14" i="179"/>
  <c r="I15" i="179" s="1"/>
  <c r="D2" i="180"/>
  <c r="P42" i="180"/>
  <c r="L14" i="179"/>
  <c r="L15" i="179" s="1"/>
  <c r="Q42" i="180"/>
  <c r="R36" i="180" s="1"/>
  <c r="K15" i="179"/>
  <c r="F14" i="179"/>
  <c r="F15" i="179" s="1"/>
  <c r="Q21" i="180"/>
  <c r="R14" i="180" s="1"/>
  <c r="P21" i="180"/>
  <c r="E15" i="179"/>
  <c r="Q44" i="178"/>
  <c r="R37" i="178" s="1"/>
  <c r="P44" i="178"/>
  <c r="L14" i="177"/>
  <c r="L15" i="177" s="1"/>
  <c r="K15" i="177"/>
  <c r="P61" i="178"/>
  <c r="Q61" i="178"/>
  <c r="P24" i="178"/>
  <c r="Q24" i="178"/>
  <c r="D15" i="177"/>
  <c r="F14" i="177"/>
  <c r="F15" i="177" s="1"/>
  <c r="Q21" i="178"/>
  <c r="R14" i="178" s="1"/>
  <c r="P21" i="178"/>
  <c r="M14" i="177"/>
  <c r="M15" i="177" s="1"/>
  <c r="P13" i="178"/>
  <c r="E14" i="177"/>
  <c r="E15" i="177" s="1"/>
  <c r="Q13" i="178"/>
  <c r="R8" i="178" s="1"/>
  <c r="J14" i="177"/>
  <c r="J15" i="177" s="1"/>
  <c r="Q63" i="178"/>
  <c r="R59" i="178" s="1"/>
  <c r="P63" i="178"/>
  <c r="Q58" i="178"/>
  <c r="R50" i="178" s="1"/>
  <c r="P58" i="178"/>
  <c r="I14" i="177"/>
  <c r="I15" i="177" s="1"/>
  <c r="AF25" i="176"/>
  <c r="AE25" i="176"/>
  <c r="N25" i="176"/>
  <c r="M7" i="176"/>
  <c r="AF6" i="176"/>
  <c r="AE6" i="176"/>
  <c r="N6" i="176"/>
  <c r="AF16" i="176"/>
  <c r="AE16" i="176"/>
  <c r="N16" i="176"/>
  <c r="M61" i="176"/>
  <c r="AF53" i="176"/>
  <c r="AE53" i="176"/>
  <c r="N53" i="176"/>
  <c r="Q62" i="176"/>
  <c r="P62" i="176"/>
  <c r="F2" i="176"/>
  <c r="I3" i="175"/>
  <c r="AF11" i="176"/>
  <c r="AE11" i="176"/>
  <c r="N11" i="176"/>
  <c r="N51" i="176"/>
  <c r="AE51" i="176"/>
  <c r="AF51" i="176"/>
  <c r="M47" i="176"/>
  <c r="AF39" i="176"/>
  <c r="AE39" i="176"/>
  <c r="N39" i="176"/>
  <c r="AF27" i="176"/>
  <c r="AE27" i="176"/>
  <c r="AF64" i="176"/>
  <c r="AE64" i="176"/>
  <c r="AF18" i="176"/>
  <c r="AE18" i="176"/>
  <c r="N27" i="176"/>
  <c r="AF44" i="176"/>
  <c r="AE44" i="176"/>
  <c r="AF46" i="176"/>
  <c r="AE46" i="176"/>
  <c r="N64" i="176"/>
  <c r="AF71" i="176"/>
  <c r="AE71" i="176"/>
  <c r="AF57" i="176"/>
  <c r="AE57" i="176"/>
  <c r="AF9" i="176"/>
  <c r="N67" i="176"/>
  <c r="M75" i="176"/>
  <c r="N74" i="176"/>
  <c r="AE67" i="176"/>
  <c r="P9" i="176"/>
  <c r="N18" i="176"/>
  <c r="AF32" i="176"/>
  <c r="AE32" i="176"/>
  <c r="N44" i="176"/>
  <c r="N46" i="176"/>
  <c r="AE56" i="176"/>
  <c r="N71" i="176"/>
  <c r="P54" i="176"/>
  <c r="Q54" i="176"/>
  <c r="AF69" i="176"/>
  <c r="AE69" i="176"/>
  <c r="N23" i="176"/>
  <c r="M30" i="176"/>
  <c r="AE54" i="176"/>
  <c r="N69" i="176"/>
  <c r="AF54" i="176"/>
  <c r="N57" i="176"/>
  <c r="M14" i="176"/>
  <c r="AF8" i="176"/>
  <c r="AE8" i="176"/>
  <c r="Q12" i="176"/>
  <c r="P12" i="176"/>
  <c r="AE21" i="176"/>
  <c r="AF37" i="176"/>
  <c r="AF42" i="176"/>
  <c r="AF55" i="176"/>
  <c r="AE55" i="176"/>
  <c r="N8" i="176"/>
  <c r="AE12" i="176"/>
  <c r="AF15" i="176"/>
  <c r="AE15" i="176"/>
  <c r="AF21" i="176"/>
  <c r="Q28" i="176"/>
  <c r="P28" i="176"/>
  <c r="N55" i="176"/>
  <c r="AF67" i="176"/>
  <c r="AF12" i="176"/>
  <c r="N15" i="176"/>
  <c r="Q19" i="176"/>
  <c r="P19" i="176"/>
  <c r="AE35" i="176"/>
  <c r="AE65" i="176"/>
  <c r="AE19" i="176"/>
  <c r="M22" i="176"/>
  <c r="P33" i="176"/>
  <c r="Q33" i="176"/>
  <c r="AF35" i="176"/>
  <c r="AE40" i="176"/>
  <c r="AF65" i="176"/>
  <c r="AE74" i="176"/>
  <c r="N32" i="176"/>
  <c r="N37" i="176"/>
  <c r="AF56" i="176"/>
  <c r="AF62" i="176"/>
  <c r="AE62" i="176"/>
  <c r="AE23" i="176"/>
  <c r="AF23" i="176"/>
  <c r="AE49" i="176"/>
  <c r="AE42" i="176"/>
  <c r="AF49" i="176"/>
  <c r="N60" i="176"/>
  <c r="AE28" i="176"/>
  <c r="AF13" i="176"/>
  <c r="AE13" i="176"/>
  <c r="AF28" i="176"/>
  <c r="AF33" i="176"/>
  <c r="AE60" i="176"/>
  <c r="P63" i="176"/>
  <c r="Q63" i="176"/>
  <c r="M66" i="176"/>
  <c r="N13" i="176"/>
  <c r="AE63" i="176"/>
  <c r="P70" i="176"/>
  <c r="Q70" i="176"/>
  <c r="AE72" i="176"/>
  <c r="AF20" i="176"/>
  <c r="AE20" i="176"/>
  <c r="AF41" i="176"/>
  <c r="AE41" i="176"/>
  <c r="AF48" i="176"/>
  <c r="AE48" i="176"/>
  <c r="M52" i="176"/>
  <c r="AF63" i="176"/>
  <c r="AF72" i="176"/>
  <c r="AF29" i="176"/>
  <c r="AE29" i="176"/>
  <c r="AF34" i="176"/>
  <c r="AE34" i="176"/>
  <c r="Q41" i="176"/>
  <c r="P41" i="176"/>
  <c r="Q48" i="176"/>
  <c r="P48" i="176"/>
  <c r="Y2" i="176"/>
  <c r="K6" i="175" s="1"/>
  <c r="N29" i="176"/>
  <c r="N34" i="176"/>
  <c r="Q56" i="176"/>
  <c r="AF58" i="176"/>
  <c r="N31" i="176"/>
  <c r="N36" i="176"/>
  <c r="M38" i="176"/>
  <c r="N43" i="176"/>
  <c r="N50" i="176"/>
  <c r="N59" i="176"/>
  <c r="N73" i="176"/>
  <c r="N10" i="176"/>
  <c r="N24" i="176"/>
  <c r="P5" i="176"/>
  <c r="AE43" i="176"/>
  <c r="AE36" i="176"/>
  <c r="AE50" i="176"/>
  <c r="AE59" i="176"/>
  <c r="AE73" i="176"/>
  <c r="AE31" i="176"/>
  <c r="AD77" i="174"/>
  <c r="Z77" i="174"/>
  <c r="Y77" i="174"/>
  <c r="O77" i="174"/>
  <c r="K77" i="174"/>
  <c r="V76" i="174"/>
  <c r="U76" i="174"/>
  <c r="O76" i="174"/>
  <c r="M76" i="174"/>
  <c r="AF76" i="174" s="1"/>
  <c r="K76" i="174"/>
  <c r="G76" i="174"/>
  <c r="V75" i="174"/>
  <c r="U75" i="174"/>
  <c r="O75" i="174"/>
  <c r="M75" i="174"/>
  <c r="AE75" i="174" s="1"/>
  <c r="K75" i="174"/>
  <c r="G75" i="174"/>
  <c r="V74" i="174"/>
  <c r="M74" i="174" s="1"/>
  <c r="N74" i="174" s="1"/>
  <c r="U74" i="174"/>
  <c r="Q74" i="174"/>
  <c r="P74" i="174"/>
  <c r="O74" i="174"/>
  <c r="K74" i="174"/>
  <c r="G74" i="174"/>
  <c r="X73" i="174"/>
  <c r="W73" i="174"/>
  <c r="V73" i="174"/>
  <c r="U73" i="174"/>
  <c r="O73" i="174"/>
  <c r="M73" i="174"/>
  <c r="K73" i="174"/>
  <c r="G73" i="174"/>
  <c r="AF72" i="174"/>
  <c r="AE72" i="174"/>
  <c r="V72" i="174"/>
  <c r="M72" i="174" s="1"/>
  <c r="N72" i="174" s="1"/>
  <c r="U72" i="174"/>
  <c r="O72" i="174"/>
  <c r="K72" i="174"/>
  <c r="G72" i="174"/>
  <c r="V71" i="174"/>
  <c r="U71" i="174"/>
  <c r="O71" i="174"/>
  <c r="M71" i="174"/>
  <c r="N71" i="174" s="1"/>
  <c r="K71" i="174"/>
  <c r="G71" i="174"/>
  <c r="AF70" i="174"/>
  <c r="AE70" i="174"/>
  <c r="V70" i="174"/>
  <c r="U70" i="174"/>
  <c r="Q70" i="174"/>
  <c r="P70" i="174"/>
  <c r="O70" i="174"/>
  <c r="N70" i="174"/>
  <c r="M70" i="174"/>
  <c r="K70" i="174"/>
  <c r="G70" i="174"/>
  <c r="X69" i="174"/>
  <c r="W69" i="174"/>
  <c r="V69" i="174"/>
  <c r="M69" i="174" s="1"/>
  <c r="O69" i="174"/>
  <c r="K69" i="174"/>
  <c r="G69" i="174"/>
  <c r="AD68" i="174"/>
  <c r="Z68" i="174"/>
  <c r="Y68" i="174"/>
  <c r="O68" i="174"/>
  <c r="K68" i="174"/>
  <c r="J13" i="173" s="1"/>
  <c r="E6" i="173" s="1"/>
  <c r="V67" i="174"/>
  <c r="M67" i="174" s="1"/>
  <c r="N67" i="174" s="1"/>
  <c r="P67" i="174" s="1"/>
  <c r="U67" i="174"/>
  <c r="O67" i="174"/>
  <c r="K67" i="174"/>
  <c r="G67" i="174"/>
  <c r="V66" i="174"/>
  <c r="U66" i="174"/>
  <c r="O66" i="174"/>
  <c r="N66" i="174"/>
  <c r="M66" i="174"/>
  <c r="K66" i="174"/>
  <c r="G66" i="174"/>
  <c r="AF65" i="174"/>
  <c r="AE65" i="174"/>
  <c r="V65" i="174"/>
  <c r="M65" i="174" s="1"/>
  <c r="N65" i="174" s="1"/>
  <c r="U65" i="174"/>
  <c r="O65" i="174"/>
  <c r="K65" i="174"/>
  <c r="G65" i="174"/>
  <c r="V64" i="174"/>
  <c r="O64" i="174"/>
  <c r="M64" i="174"/>
  <c r="K64" i="174"/>
  <c r="G64" i="174"/>
  <c r="AD63" i="174"/>
  <c r="Z63" i="174"/>
  <c r="Y63" i="174"/>
  <c r="O63" i="174"/>
  <c r="K63" i="174"/>
  <c r="AE62" i="174"/>
  <c r="V62" i="174"/>
  <c r="U62" i="174"/>
  <c r="O62" i="174"/>
  <c r="M62" i="174"/>
  <c r="AF62" i="174" s="1"/>
  <c r="K62" i="174"/>
  <c r="G62" i="174"/>
  <c r="X61" i="174"/>
  <c r="W61" i="174"/>
  <c r="V61" i="174"/>
  <c r="U61" i="174"/>
  <c r="O61" i="174"/>
  <c r="M61" i="174"/>
  <c r="K61" i="174"/>
  <c r="G61" i="174"/>
  <c r="V60" i="174"/>
  <c r="M60" i="174" s="1"/>
  <c r="N60" i="174" s="1"/>
  <c r="P60" i="174" s="1"/>
  <c r="U60" i="174"/>
  <c r="O60" i="174"/>
  <c r="K60" i="174"/>
  <c r="G60" i="174"/>
  <c r="V59" i="174"/>
  <c r="U59" i="174"/>
  <c r="O59" i="174"/>
  <c r="M59" i="174"/>
  <c r="N59" i="174" s="1"/>
  <c r="K59" i="174"/>
  <c r="G59" i="174"/>
  <c r="V58" i="174"/>
  <c r="M58" i="174" s="1"/>
  <c r="N58" i="174" s="1"/>
  <c r="U58" i="174"/>
  <c r="O58" i="174"/>
  <c r="K58" i="174"/>
  <c r="G58" i="174"/>
  <c r="V57" i="174"/>
  <c r="U57" i="174"/>
  <c r="O57" i="174"/>
  <c r="M57" i="174"/>
  <c r="N57" i="174" s="1"/>
  <c r="K57" i="174"/>
  <c r="G57" i="174"/>
  <c r="AF56" i="174"/>
  <c r="AE56" i="174"/>
  <c r="V56" i="174"/>
  <c r="U56" i="174"/>
  <c r="Q56" i="174"/>
  <c r="P56" i="174"/>
  <c r="O56" i="174"/>
  <c r="N56" i="174"/>
  <c r="M56" i="174"/>
  <c r="K56" i="174"/>
  <c r="G56" i="174"/>
  <c r="V55" i="174"/>
  <c r="M55" i="174" s="1"/>
  <c r="U55" i="174"/>
  <c r="O55" i="174"/>
  <c r="K55" i="174"/>
  <c r="G55" i="174"/>
  <c r="V54" i="174"/>
  <c r="O54" i="174"/>
  <c r="M54" i="174"/>
  <c r="AE54" i="174" s="1"/>
  <c r="K54" i="174"/>
  <c r="G54" i="174"/>
  <c r="AD53" i="174"/>
  <c r="Z53" i="174"/>
  <c r="H19" i="173" s="1"/>
  <c r="Y53" i="174"/>
  <c r="H18" i="173" s="1"/>
  <c r="O53" i="174"/>
  <c r="K53" i="174"/>
  <c r="V52" i="174"/>
  <c r="U52" i="174"/>
  <c r="O52" i="174"/>
  <c r="M52" i="174"/>
  <c r="K52" i="174"/>
  <c r="G52" i="174"/>
  <c r="V51" i="174"/>
  <c r="M51" i="174" s="1"/>
  <c r="N51" i="174" s="1"/>
  <c r="P51" i="174" s="1"/>
  <c r="U51" i="174"/>
  <c r="Q51" i="174"/>
  <c r="O51" i="174"/>
  <c r="K51" i="174"/>
  <c r="G51" i="174"/>
  <c r="V50" i="174"/>
  <c r="U50" i="174"/>
  <c r="O50" i="174"/>
  <c r="N50" i="174"/>
  <c r="M50" i="174"/>
  <c r="K50" i="174"/>
  <c r="G50" i="174"/>
  <c r="AF49" i="174"/>
  <c r="AE49" i="174"/>
  <c r="V49" i="174"/>
  <c r="O49" i="174"/>
  <c r="N49" i="174"/>
  <c r="P49" i="174" s="1"/>
  <c r="M49" i="174"/>
  <c r="K49" i="174"/>
  <c r="G49" i="174"/>
  <c r="AD48" i="174"/>
  <c r="Z48" i="174"/>
  <c r="Y48" i="174"/>
  <c r="L18" i="173" s="1"/>
  <c r="O48" i="174"/>
  <c r="M48" i="174"/>
  <c r="K48" i="174"/>
  <c r="AF47" i="174"/>
  <c r="AE47" i="174"/>
  <c r="V47" i="174"/>
  <c r="U47" i="174"/>
  <c r="P47" i="174"/>
  <c r="O47" i="174"/>
  <c r="N47" i="174"/>
  <c r="Q47" i="174" s="1"/>
  <c r="M47" i="174"/>
  <c r="K47" i="174"/>
  <c r="G47" i="174"/>
  <c r="V46" i="174"/>
  <c r="U46" i="174"/>
  <c r="O46" i="174"/>
  <c r="M46" i="174"/>
  <c r="AF46" i="174" s="1"/>
  <c r="K46" i="174"/>
  <c r="G46" i="174"/>
  <c r="V45" i="174"/>
  <c r="U45" i="174"/>
  <c r="O45" i="174"/>
  <c r="M45" i="174"/>
  <c r="AE45" i="174" s="1"/>
  <c r="K45" i="174"/>
  <c r="G45" i="174"/>
  <c r="X44" i="174"/>
  <c r="W44" i="174"/>
  <c r="V44" i="174"/>
  <c r="M44" i="174" s="1"/>
  <c r="N44" i="174" s="1"/>
  <c r="P44" i="174" s="1"/>
  <c r="U44" i="174"/>
  <c r="Q44" i="174"/>
  <c r="O44" i="174"/>
  <c r="K44" i="174"/>
  <c r="G44" i="174"/>
  <c r="V43" i="174"/>
  <c r="U43" i="174"/>
  <c r="O43" i="174"/>
  <c r="N43" i="174"/>
  <c r="M43" i="174"/>
  <c r="K43" i="174"/>
  <c r="G43" i="174"/>
  <c r="V42" i="174"/>
  <c r="M42" i="174" s="1"/>
  <c r="N42" i="174" s="1"/>
  <c r="U42" i="174"/>
  <c r="O42" i="174"/>
  <c r="K42" i="174"/>
  <c r="G42" i="174"/>
  <c r="V41" i="174"/>
  <c r="U41" i="174"/>
  <c r="P41" i="174"/>
  <c r="O41" i="174"/>
  <c r="N41" i="174"/>
  <c r="Q41" i="174" s="1"/>
  <c r="M41" i="174"/>
  <c r="K41" i="174"/>
  <c r="G41" i="174"/>
  <c r="X40" i="174"/>
  <c r="W40" i="174"/>
  <c r="V40" i="174"/>
  <c r="O40" i="174"/>
  <c r="M40" i="174"/>
  <c r="AF40" i="174" s="1"/>
  <c r="K40" i="174"/>
  <c r="G40" i="174"/>
  <c r="AD39" i="174"/>
  <c r="Z39" i="174"/>
  <c r="Y39" i="174"/>
  <c r="K18" i="173" s="1"/>
  <c r="O39" i="174"/>
  <c r="K39" i="174"/>
  <c r="V38" i="174"/>
  <c r="U38" i="174"/>
  <c r="O38" i="174"/>
  <c r="M38" i="174"/>
  <c r="K38" i="174"/>
  <c r="G38" i="174"/>
  <c r="V37" i="174"/>
  <c r="M37" i="174" s="1"/>
  <c r="N37" i="174" s="1"/>
  <c r="P37" i="174" s="1"/>
  <c r="U37" i="174"/>
  <c r="Q37" i="174"/>
  <c r="O37" i="174"/>
  <c r="K37" i="174"/>
  <c r="G37" i="174"/>
  <c r="V36" i="174"/>
  <c r="U36" i="174"/>
  <c r="O36" i="174"/>
  <c r="N36" i="174"/>
  <c r="M36" i="174"/>
  <c r="K36" i="174"/>
  <c r="G36" i="174"/>
  <c r="AF35" i="174"/>
  <c r="AE35" i="174"/>
  <c r="X35" i="174"/>
  <c r="W35" i="174"/>
  <c r="V35" i="174"/>
  <c r="U35" i="174"/>
  <c r="Q35" i="174"/>
  <c r="P35" i="174"/>
  <c r="O35" i="174"/>
  <c r="N35" i="174"/>
  <c r="M35" i="174"/>
  <c r="K35" i="174"/>
  <c r="G35" i="174"/>
  <c r="V34" i="174"/>
  <c r="U34" i="174"/>
  <c r="P34" i="174"/>
  <c r="O34" i="174"/>
  <c r="N34" i="174"/>
  <c r="Q34" i="174" s="1"/>
  <c r="M34" i="174"/>
  <c r="K34" i="174"/>
  <c r="G34" i="174"/>
  <c r="V33" i="174"/>
  <c r="U33" i="174"/>
  <c r="O33" i="174"/>
  <c r="M33" i="174"/>
  <c r="AF33" i="174" s="1"/>
  <c r="K33" i="174"/>
  <c r="G33" i="174"/>
  <c r="AF32" i="174"/>
  <c r="AE32" i="174"/>
  <c r="V32" i="174"/>
  <c r="M32" i="174" s="1"/>
  <c r="U32" i="174"/>
  <c r="O32" i="174"/>
  <c r="N32" i="174"/>
  <c r="Q32" i="174" s="1"/>
  <c r="K32" i="174"/>
  <c r="G32" i="174"/>
  <c r="X31" i="174"/>
  <c r="W31" i="174"/>
  <c r="V31" i="174"/>
  <c r="O31" i="174"/>
  <c r="N31" i="174"/>
  <c r="M31" i="174"/>
  <c r="K31" i="174"/>
  <c r="G31" i="174"/>
  <c r="AD30" i="174"/>
  <c r="G21" i="173" s="1"/>
  <c r="Z30" i="174"/>
  <c r="Y30" i="174"/>
  <c r="O30" i="174"/>
  <c r="K30" i="174"/>
  <c r="V29" i="174"/>
  <c r="U29" i="174"/>
  <c r="P29" i="174"/>
  <c r="O29" i="174"/>
  <c r="N29" i="174"/>
  <c r="Q29" i="174" s="1"/>
  <c r="M29" i="174"/>
  <c r="K29" i="174"/>
  <c r="G29" i="174"/>
  <c r="AF28" i="174"/>
  <c r="X28" i="174"/>
  <c r="W28" i="174"/>
  <c r="V28" i="174"/>
  <c r="U28" i="174"/>
  <c r="O28" i="174"/>
  <c r="M28" i="174"/>
  <c r="AE28" i="174" s="1"/>
  <c r="K28" i="174"/>
  <c r="G28" i="174"/>
  <c r="V27" i="174"/>
  <c r="M27" i="174" s="1"/>
  <c r="AF27" i="174" s="1"/>
  <c r="U27" i="174"/>
  <c r="P27" i="174"/>
  <c r="O27" i="174"/>
  <c r="N27" i="174"/>
  <c r="Q27" i="174" s="1"/>
  <c r="K27" i="174"/>
  <c r="G27" i="174"/>
  <c r="V26" i="174"/>
  <c r="U26" i="174"/>
  <c r="O26" i="174"/>
  <c r="M26" i="174"/>
  <c r="K26" i="174"/>
  <c r="G26" i="174"/>
  <c r="AE25" i="174"/>
  <c r="V25" i="174"/>
  <c r="M25" i="174" s="1"/>
  <c r="N25" i="174" s="1"/>
  <c r="U25" i="174"/>
  <c r="Q25" i="174"/>
  <c r="P25" i="174"/>
  <c r="O25" i="174"/>
  <c r="K25" i="174"/>
  <c r="G25" i="174"/>
  <c r="V24" i="174"/>
  <c r="U24" i="174"/>
  <c r="O24" i="174"/>
  <c r="M24" i="174"/>
  <c r="K24" i="174"/>
  <c r="G24" i="174"/>
  <c r="V23" i="174"/>
  <c r="M23" i="174" s="1"/>
  <c r="O23" i="174"/>
  <c r="K23" i="174"/>
  <c r="G23" i="174"/>
  <c r="AD22" i="174"/>
  <c r="F21" i="173" s="1"/>
  <c r="Z22" i="174"/>
  <c r="F19" i="173" s="1"/>
  <c r="Y22" i="174"/>
  <c r="F18" i="173" s="1"/>
  <c r="O22" i="174"/>
  <c r="K22" i="174"/>
  <c r="F13" i="173" s="1"/>
  <c r="AF21" i="174"/>
  <c r="AE21" i="174"/>
  <c r="V21" i="174"/>
  <c r="U21" i="174"/>
  <c r="Q21" i="174"/>
  <c r="P21" i="174"/>
  <c r="O21" i="174"/>
  <c r="N21" i="174"/>
  <c r="M21" i="174"/>
  <c r="K21" i="174"/>
  <c r="G21" i="174"/>
  <c r="V20" i="174"/>
  <c r="U20" i="174"/>
  <c r="O20" i="174"/>
  <c r="M20" i="174"/>
  <c r="K20" i="174"/>
  <c r="G20" i="174"/>
  <c r="V19" i="174"/>
  <c r="U19" i="174"/>
  <c r="O19" i="174"/>
  <c r="M19" i="174"/>
  <c r="AF19" i="174" s="1"/>
  <c r="K19" i="174"/>
  <c r="G19" i="174"/>
  <c r="V18" i="174"/>
  <c r="M18" i="174" s="1"/>
  <c r="AF18" i="174" s="1"/>
  <c r="U18" i="174"/>
  <c r="O18" i="174"/>
  <c r="N18" i="174"/>
  <c r="Q18" i="174" s="1"/>
  <c r="K18" i="174"/>
  <c r="G18" i="174"/>
  <c r="V17" i="174"/>
  <c r="U17" i="174"/>
  <c r="O17" i="174"/>
  <c r="M17" i="174"/>
  <c r="AF17" i="174" s="1"/>
  <c r="K17" i="174"/>
  <c r="G17" i="174"/>
  <c r="AF16" i="174"/>
  <c r="AE16" i="174"/>
  <c r="V16" i="174"/>
  <c r="M16" i="174" s="1"/>
  <c r="N16" i="174" s="1"/>
  <c r="U16" i="174"/>
  <c r="Q16" i="174"/>
  <c r="P16" i="174"/>
  <c r="O16" i="174"/>
  <c r="K16" i="174"/>
  <c r="G16" i="174"/>
  <c r="X15" i="174"/>
  <c r="W15" i="174"/>
  <c r="V15" i="174"/>
  <c r="O15" i="174"/>
  <c r="M15" i="174"/>
  <c r="K15" i="174"/>
  <c r="G15" i="174"/>
  <c r="AD14" i="174"/>
  <c r="Z14" i="174"/>
  <c r="Y14" i="174"/>
  <c r="O14" i="174"/>
  <c r="K14" i="174"/>
  <c r="V13" i="174"/>
  <c r="U13" i="174"/>
  <c r="O13" i="174"/>
  <c r="M13" i="174"/>
  <c r="K13" i="174"/>
  <c r="G13" i="174"/>
  <c r="V12" i="174"/>
  <c r="U12" i="174"/>
  <c r="O12" i="174"/>
  <c r="M12" i="174"/>
  <c r="AF12" i="174" s="1"/>
  <c r="K12" i="174"/>
  <c r="G12" i="174"/>
  <c r="X11" i="174"/>
  <c r="W11" i="174"/>
  <c r="V11" i="174"/>
  <c r="M11" i="174" s="1"/>
  <c r="N11" i="174" s="1"/>
  <c r="U11" i="174"/>
  <c r="Q11" i="174"/>
  <c r="P11" i="174"/>
  <c r="O11" i="174"/>
  <c r="K11" i="174"/>
  <c r="G11" i="174"/>
  <c r="V10" i="174"/>
  <c r="U10" i="174"/>
  <c r="O10" i="174"/>
  <c r="N10" i="174"/>
  <c r="M10" i="174"/>
  <c r="K10" i="174"/>
  <c r="G10" i="174"/>
  <c r="AF9" i="174"/>
  <c r="AE9" i="174"/>
  <c r="V9" i="174"/>
  <c r="M9" i="174" s="1"/>
  <c r="N9" i="174" s="1"/>
  <c r="U9" i="174"/>
  <c r="O9" i="174"/>
  <c r="K9" i="174"/>
  <c r="G9" i="174"/>
  <c r="X8" i="174"/>
  <c r="W8" i="174"/>
  <c r="V8" i="174"/>
  <c r="O8" i="174"/>
  <c r="M8" i="174"/>
  <c r="K8" i="174"/>
  <c r="G8" i="174"/>
  <c r="AD7" i="174"/>
  <c r="Z7" i="174"/>
  <c r="Y7" i="174"/>
  <c r="O7" i="174"/>
  <c r="K7" i="174"/>
  <c r="D13" i="173" s="1"/>
  <c r="V6" i="174"/>
  <c r="M6" i="174" s="1"/>
  <c r="AF6" i="174" s="1"/>
  <c r="U6" i="174"/>
  <c r="O6" i="174"/>
  <c r="K6" i="174"/>
  <c r="G6" i="174"/>
  <c r="V5" i="174"/>
  <c r="O5" i="174"/>
  <c r="M5" i="174"/>
  <c r="K5" i="174"/>
  <c r="G5" i="174"/>
  <c r="AD2" i="174"/>
  <c r="N6" i="173" s="1"/>
  <c r="Y2" i="174"/>
  <c r="K6" i="173" s="1"/>
  <c r="H2" i="174"/>
  <c r="H1" i="174"/>
  <c r="D1" i="174"/>
  <c r="F3" i="173" s="1"/>
  <c r="M22" i="173"/>
  <c r="L22" i="173"/>
  <c r="K22" i="173"/>
  <c r="J22" i="173"/>
  <c r="I22" i="173"/>
  <c r="H22" i="173"/>
  <c r="G22" i="173"/>
  <c r="F22" i="173"/>
  <c r="E22" i="173"/>
  <c r="D22" i="173"/>
  <c r="M21" i="173"/>
  <c r="L21" i="173"/>
  <c r="K21" i="173"/>
  <c r="J21" i="173"/>
  <c r="I21" i="173"/>
  <c r="H21" i="173"/>
  <c r="E21" i="173"/>
  <c r="D21" i="173"/>
  <c r="M20" i="173"/>
  <c r="L20" i="173"/>
  <c r="K20" i="173"/>
  <c r="J20" i="173"/>
  <c r="I20" i="173"/>
  <c r="H20" i="173"/>
  <c r="G20" i="173"/>
  <c r="F20" i="173"/>
  <c r="E20" i="173"/>
  <c r="D20" i="173"/>
  <c r="M19" i="173"/>
  <c r="L19" i="173"/>
  <c r="K19" i="173"/>
  <c r="J19" i="173"/>
  <c r="I19" i="173"/>
  <c r="G19" i="173"/>
  <c r="E19" i="173"/>
  <c r="D19" i="173"/>
  <c r="M18" i="173"/>
  <c r="J18" i="173"/>
  <c r="I18" i="173"/>
  <c r="G18" i="173"/>
  <c r="E18" i="173"/>
  <c r="D18" i="173"/>
  <c r="M17" i="173"/>
  <c r="L17" i="173"/>
  <c r="K17" i="173"/>
  <c r="J17" i="173"/>
  <c r="I17" i="173"/>
  <c r="H17" i="173"/>
  <c r="G17" i="173"/>
  <c r="F17" i="173"/>
  <c r="E17" i="173"/>
  <c r="D17" i="173"/>
  <c r="M16" i="173"/>
  <c r="L16" i="173"/>
  <c r="K16" i="173"/>
  <c r="J16" i="173"/>
  <c r="I16" i="173"/>
  <c r="H16" i="173"/>
  <c r="G16" i="173"/>
  <c r="F16" i="173"/>
  <c r="E16" i="173"/>
  <c r="D16" i="173"/>
  <c r="M13" i="173"/>
  <c r="L13" i="173"/>
  <c r="I6" i="173" s="1"/>
  <c r="K13" i="173"/>
  <c r="I13" i="173"/>
  <c r="H13" i="173"/>
  <c r="G13" i="173"/>
  <c r="E13" i="173"/>
  <c r="M6" i="173"/>
  <c r="C3" i="173"/>
  <c r="P71" i="178" l="1"/>
  <c r="D2" i="178"/>
  <c r="F8" i="181"/>
  <c r="E8" i="181"/>
  <c r="G8" i="181"/>
  <c r="I8" i="179"/>
  <c r="I7" i="179"/>
  <c r="E7" i="179"/>
  <c r="F7" i="179"/>
  <c r="G7" i="179"/>
  <c r="G8" i="179"/>
  <c r="E8" i="179"/>
  <c r="F8" i="179"/>
  <c r="E7" i="177"/>
  <c r="G8" i="177"/>
  <c r="F8" i="177"/>
  <c r="E8" i="177"/>
  <c r="I7" i="177"/>
  <c r="G7" i="177"/>
  <c r="F7" i="177"/>
  <c r="I8" i="177"/>
  <c r="AF66" i="176"/>
  <c r="AG62" i="176" s="1"/>
  <c r="AE66" i="176"/>
  <c r="N66" i="176"/>
  <c r="Q64" i="176"/>
  <c r="P64" i="176"/>
  <c r="Q8" i="176"/>
  <c r="P8" i="176"/>
  <c r="Q71" i="176"/>
  <c r="P71" i="176"/>
  <c r="Q73" i="176"/>
  <c r="P73" i="176"/>
  <c r="AF22" i="176"/>
  <c r="AG15" i="176" s="1"/>
  <c r="AE22" i="176"/>
  <c r="N22" i="176"/>
  <c r="P44" i="176"/>
  <c r="Q44" i="176"/>
  <c r="Q53" i="176"/>
  <c r="P53" i="176"/>
  <c r="Q59" i="176"/>
  <c r="P59" i="176"/>
  <c r="Q50" i="176"/>
  <c r="P50" i="176"/>
  <c r="AF52" i="176"/>
  <c r="AG48" i="176" s="1"/>
  <c r="AE52" i="176"/>
  <c r="N52" i="176"/>
  <c r="Q10" i="176"/>
  <c r="P10" i="176"/>
  <c r="Q13" i="176"/>
  <c r="P13" i="176"/>
  <c r="Q31" i="176"/>
  <c r="P31" i="176"/>
  <c r="Q15" i="176"/>
  <c r="P15" i="176"/>
  <c r="N14" i="176"/>
  <c r="AF14" i="176"/>
  <c r="AG8" i="176" s="1"/>
  <c r="AE14" i="176"/>
  <c r="Q74" i="176"/>
  <c r="P74" i="176"/>
  <c r="Q39" i="176"/>
  <c r="P39" i="176"/>
  <c r="Q32" i="176"/>
  <c r="P32" i="176"/>
  <c r="P46" i="176"/>
  <c r="Q46" i="176"/>
  <c r="Q43" i="176"/>
  <c r="P43" i="176"/>
  <c r="Q60" i="176"/>
  <c r="P60" i="176"/>
  <c r="Q6" i="176"/>
  <c r="P6" i="176"/>
  <c r="P67" i="176"/>
  <c r="Q67" i="176"/>
  <c r="Q34" i="176"/>
  <c r="P34" i="176"/>
  <c r="Q55" i="176"/>
  <c r="P55" i="176"/>
  <c r="Q69" i="176"/>
  <c r="P69" i="176"/>
  <c r="N47" i="176"/>
  <c r="AF47" i="176"/>
  <c r="AG39" i="176" s="1"/>
  <c r="AE47" i="176"/>
  <c r="Q24" i="176"/>
  <c r="P24" i="176"/>
  <c r="AF61" i="176"/>
  <c r="AG53" i="176" s="1"/>
  <c r="AE61" i="176"/>
  <c r="N61" i="176"/>
  <c r="Q57" i="176"/>
  <c r="P57" i="176"/>
  <c r="N7" i="176"/>
  <c r="AF7" i="176"/>
  <c r="AG5" i="176" s="1"/>
  <c r="AE7" i="176"/>
  <c r="Q27" i="176"/>
  <c r="P27" i="176"/>
  <c r="AF38" i="176"/>
  <c r="AG31" i="176" s="1"/>
  <c r="AE38" i="176"/>
  <c r="N38" i="176"/>
  <c r="Q16" i="176"/>
  <c r="P16" i="176"/>
  <c r="Q36" i="176"/>
  <c r="P36" i="176"/>
  <c r="Q29" i="176"/>
  <c r="P29" i="176"/>
  <c r="N30" i="176"/>
  <c r="AF30" i="176"/>
  <c r="AG23" i="176" s="1"/>
  <c r="AE30" i="176"/>
  <c r="Q25" i="176"/>
  <c r="P25" i="176"/>
  <c r="P18" i="176"/>
  <c r="Q18" i="176"/>
  <c r="AF75" i="176"/>
  <c r="AG67" i="176" s="1"/>
  <c r="AE75" i="176"/>
  <c r="N75" i="176"/>
  <c r="Q37" i="176"/>
  <c r="P37" i="176"/>
  <c r="Q23" i="176"/>
  <c r="P23" i="176"/>
  <c r="Q51" i="176"/>
  <c r="P51" i="176"/>
  <c r="Q11" i="176"/>
  <c r="P11" i="176"/>
  <c r="G6" i="173"/>
  <c r="Q59" i="174"/>
  <c r="P59" i="174"/>
  <c r="AF55" i="174"/>
  <c r="AE55" i="174"/>
  <c r="N55" i="174"/>
  <c r="Q57" i="174"/>
  <c r="P57" i="174"/>
  <c r="P71" i="174"/>
  <c r="Q71" i="174"/>
  <c r="AE48" i="174"/>
  <c r="AF48" i="174"/>
  <c r="AG40" i="174" s="1"/>
  <c r="Q50" i="174"/>
  <c r="P50" i="174"/>
  <c r="Z2" i="174"/>
  <c r="L6" i="173" s="1"/>
  <c r="AF24" i="174"/>
  <c r="AE24" i="174"/>
  <c r="N48" i="174"/>
  <c r="AE60" i="174"/>
  <c r="N24" i="174"/>
  <c r="AF29" i="174"/>
  <c r="AE29" i="174"/>
  <c r="AF34" i="174"/>
  <c r="AE34" i="174"/>
  <c r="AF41" i="174"/>
  <c r="AE41" i="174"/>
  <c r="N46" i="174"/>
  <c r="AF60" i="174"/>
  <c r="F1" i="174"/>
  <c r="AF15" i="174"/>
  <c r="AE15" i="174"/>
  <c r="AF73" i="174"/>
  <c r="AE73" i="174"/>
  <c r="AF10" i="174"/>
  <c r="AE10" i="174"/>
  <c r="N15" i="174"/>
  <c r="M22" i="174"/>
  <c r="AF36" i="174"/>
  <c r="AE36" i="174"/>
  <c r="AF66" i="174"/>
  <c r="AE66" i="174"/>
  <c r="N73" i="174"/>
  <c r="N6" i="174"/>
  <c r="P18" i="174"/>
  <c r="AE44" i="174"/>
  <c r="AF51" i="174"/>
  <c r="AF5" i="174"/>
  <c r="AE5" i="174"/>
  <c r="M7" i="174"/>
  <c r="P10" i="174"/>
  <c r="Q10" i="174"/>
  <c r="AF20" i="174"/>
  <c r="AE20" i="174"/>
  <c r="Q36" i="174"/>
  <c r="P36" i="174"/>
  <c r="Q58" i="174"/>
  <c r="P58" i="174"/>
  <c r="AE61" i="174"/>
  <c r="AF61" i="174"/>
  <c r="N61" i="174"/>
  <c r="Q66" i="174"/>
  <c r="P66" i="174"/>
  <c r="F6" i="173"/>
  <c r="AF44" i="174"/>
  <c r="Q67" i="174"/>
  <c r="N5" i="174"/>
  <c r="M14" i="174"/>
  <c r="AF8" i="174"/>
  <c r="AE8" i="174"/>
  <c r="N20" i="174"/>
  <c r="AE58" i="174"/>
  <c r="P32" i="174"/>
  <c r="AE64" i="174"/>
  <c r="AF64" i="174"/>
  <c r="AE37" i="174"/>
  <c r="AE67" i="174"/>
  <c r="AE46" i="174"/>
  <c r="N76" i="174"/>
  <c r="N64" i="174"/>
  <c r="N69" i="174"/>
  <c r="M77" i="174"/>
  <c r="AF69" i="174"/>
  <c r="AE76" i="174"/>
  <c r="N8" i="174"/>
  <c r="AF58" i="174"/>
  <c r="AF71" i="174"/>
  <c r="AE71" i="174"/>
  <c r="AF13" i="174"/>
  <c r="AE13" i="174"/>
  <c r="N13" i="174"/>
  <c r="AE27" i="174"/>
  <c r="AE51" i="174"/>
  <c r="AF59" i="174"/>
  <c r="AE59" i="174"/>
  <c r="Q42" i="174"/>
  <c r="P42" i="174"/>
  <c r="AE69" i="174"/>
  <c r="AE18" i="174"/>
  <c r="N23" i="174"/>
  <c r="M30" i="174"/>
  <c r="AF42" i="174"/>
  <c r="AE6" i="174"/>
  <c r="AF23" i="174"/>
  <c r="AF26" i="174"/>
  <c r="N26" i="174"/>
  <c r="AE26" i="174"/>
  <c r="AE74" i="174"/>
  <c r="AE11" i="174"/>
  <c r="M39" i="174"/>
  <c r="AF31" i="174"/>
  <c r="AE31" i="174"/>
  <c r="AF43" i="174"/>
  <c r="AE43" i="174"/>
  <c r="Q60" i="174"/>
  <c r="M68" i="174"/>
  <c r="Q72" i="174"/>
  <c r="P72" i="174"/>
  <c r="AF74" i="174"/>
  <c r="AF25" i="174"/>
  <c r="AE42" i="174"/>
  <c r="N52" i="174"/>
  <c r="AF52" i="174"/>
  <c r="AE52" i="174"/>
  <c r="AF57" i="174"/>
  <c r="AE57" i="174"/>
  <c r="N62" i="174"/>
  <c r="AE23" i="174"/>
  <c r="AF37" i="174"/>
  <c r="AF67" i="174"/>
  <c r="Q9" i="174"/>
  <c r="P9" i="174"/>
  <c r="AF11" i="174"/>
  <c r="Q31" i="174"/>
  <c r="P31" i="174"/>
  <c r="AF38" i="174"/>
  <c r="AE38" i="174"/>
  <c r="N38" i="174"/>
  <c r="Q43" i="174"/>
  <c r="P43" i="174"/>
  <c r="M53" i="174"/>
  <c r="AF50" i="174"/>
  <c r="AE50" i="174"/>
  <c r="Q65" i="174"/>
  <c r="P65" i="174"/>
  <c r="N40" i="174"/>
  <c r="N45" i="174"/>
  <c r="N54" i="174"/>
  <c r="M63" i="174"/>
  <c r="N75" i="174"/>
  <c r="N12" i="174"/>
  <c r="N19" i="174"/>
  <c r="N28" i="174"/>
  <c r="N33" i="174"/>
  <c r="AE17" i="174"/>
  <c r="N17" i="174"/>
  <c r="AE12" i="174"/>
  <c r="AE19" i="174"/>
  <c r="AE33" i="174"/>
  <c r="AF45" i="174"/>
  <c r="Q49" i="174"/>
  <c r="AF54" i="174"/>
  <c r="AF75" i="174"/>
  <c r="AE40" i="174"/>
  <c r="AD77" i="172"/>
  <c r="Z77" i="172"/>
  <c r="Y77" i="172"/>
  <c r="O77" i="172"/>
  <c r="M77" i="172"/>
  <c r="N77" i="172" s="1"/>
  <c r="K77" i="172"/>
  <c r="V76" i="172"/>
  <c r="U76" i="172"/>
  <c r="O76" i="172"/>
  <c r="N76" i="172"/>
  <c r="M76" i="172"/>
  <c r="K76" i="172"/>
  <c r="G76" i="172"/>
  <c r="V75" i="172"/>
  <c r="M75" i="172" s="1"/>
  <c r="U75" i="172"/>
  <c r="Q75" i="172"/>
  <c r="P75" i="172"/>
  <c r="O75" i="172"/>
  <c r="N75" i="172"/>
  <c r="K75" i="172"/>
  <c r="G75" i="172"/>
  <c r="X74" i="172"/>
  <c r="W74" i="172"/>
  <c r="V74" i="172"/>
  <c r="M74" i="172" s="1"/>
  <c r="U74" i="172"/>
  <c r="O74" i="172"/>
  <c r="K74" i="172"/>
  <c r="G74" i="172"/>
  <c r="AF73" i="172"/>
  <c r="AE73" i="172"/>
  <c r="V73" i="172"/>
  <c r="M73" i="172" s="1"/>
  <c r="N73" i="172" s="1"/>
  <c r="U73" i="172"/>
  <c r="O73" i="172"/>
  <c r="K73" i="172"/>
  <c r="G73" i="172"/>
  <c r="AE72" i="172"/>
  <c r="V72" i="172"/>
  <c r="M72" i="172" s="1"/>
  <c r="U72" i="172"/>
  <c r="O72" i="172"/>
  <c r="K72" i="172"/>
  <c r="G72" i="172"/>
  <c r="AF71" i="172"/>
  <c r="X71" i="172"/>
  <c r="W71" i="172"/>
  <c r="V71" i="172"/>
  <c r="O71" i="172"/>
  <c r="N71" i="172"/>
  <c r="M71" i="172"/>
  <c r="AE71" i="172" s="1"/>
  <c r="K71" i="172"/>
  <c r="G71" i="172"/>
  <c r="AD70" i="172"/>
  <c r="J21" i="171" s="1"/>
  <c r="Z70" i="172"/>
  <c r="J19" i="171" s="1"/>
  <c r="Y70" i="172"/>
  <c r="J18" i="171" s="1"/>
  <c r="O70" i="172"/>
  <c r="K70" i="172"/>
  <c r="V69" i="172"/>
  <c r="M69" i="172" s="1"/>
  <c r="U69" i="172"/>
  <c r="O69" i="172"/>
  <c r="K69" i="172"/>
  <c r="G69" i="172"/>
  <c r="V68" i="172"/>
  <c r="M68" i="172" s="1"/>
  <c r="U68" i="172"/>
  <c r="O68" i="172"/>
  <c r="K68" i="172"/>
  <c r="G68" i="172"/>
  <c r="V67" i="172"/>
  <c r="M67" i="172" s="1"/>
  <c r="U67" i="172"/>
  <c r="O67" i="172"/>
  <c r="K67" i="172"/>
  <c r="G67" i="172"/>
  <c r="AF66" i="172"/>
  <c r="AE66" i="172"/>
  <c r="V66" i="172"/>
  <c r="M66" i="172" s="1"/>
  <c r="O66" i="172"/>
  <c r="K66" i="172"/>
  <c r="G66" i="172"/>
  <c r="AD65" i="172"/>
  <c r="Z65" i="172"/>
  <c r="Y65" i="172"/>
  <c r="O65" i="172"/>
  <c r="M65" i="172"/>
  <c r="AF65" i="172" s="1"/>
  <c r="AG56" i="172" s="1"/>
  <c r="K65" i="172"/>
  <c r="AF64" i="172"/>
  <c r="V64" i="172"/>
  <c r="U64" i="172"/>
  <c r="O64" i="172"/>
  <c r="M64" i="172"/>
  <c r="AE64" i="172" s="1"/>
  <c r="K64" i="172"/>
  <c r="G64" i="172"/>
  <c r="X63" i="172"/>
  <c r="W63" i="172"/>
  <c r="V63" i="172"/>
  <c r="M63" i="172" s="1"/>
  <c r="U63" i="172"/>
  <c r="Q63" i="172"/>
  <c r="P63" i="172"/>
  <c r="O63" i="172"/>
  <c r="N63" i="172"/>
  <c r="K63" i="172"/>
  <c r="G63" i="172"/>
  <c r="V62" i="172"/>
  <c r="M62" i="172" s="1"/>
  <c r="U62" i="172"/>
  <c r="O62" i="172"/>
  <c r="K62" i="172"/>
  <c r="G62" i="172"/>
  <c r="V61" i="172"/>
  <c r="M61" i="172" s="1"/>
  <c r="U61" i="172"/>
  <c r="O61" i="172"/>
  <c r="K61" i="172"/>
  <c r="G61" i="172"/>
  <c r="V60" i="172"/>
  <c r="M60" i="172" s="1"/>
  <c r="U60" i="172"/>
  <c r="O60" i="172"/>
  <c r="K60" i="172"/>
  <c r="G60" i="172"/>
  <c r="AF59" i="172"/>
  <c r="AE59" i="172"/>
  <c r="V59" i="172"/>
  <c r="M59" i="172" s="1"/>
  <c r="N59" i="172" s="1"/>
  <c r="U59" i="172"/>
  <c r="O59" i="172"/>
  <c r="K59" i="172"/>
  <c r="G59" i="172"/>
  <c r="AE58" i="172"/>
  <c r="V58" i="172"/>
  <c r="M58" i="172" s="1"/>
  <c r="U58" i="172"/>
  <c r="O58" i="172"/>
  <c r="K58" i="172"/>
  <c r="G58" i="172"/>
  <c r="AF57" i="172"/>
  <c r="AE57" i="172"/>
  <c r="V57" i="172"/>
  <c r="U57" i="172"/>
  <c r="O57" i="172"/>
  <c r="M57" i="172"/>
  <c r="N57" i="172" s="1"/>
  <c r="K57" i="172"/>
  <c r="G57" i="172"/>
  <c r="V56" i="172"/>
  <c r="O56" i="172"/>
  <c r="N56" i="172"/>
  <c r="M56" i="172"/>
  <c r="K56" i="172"/>
  <c r="G56" i="172"/>
  <c r="AD55" i="172"/>
  <c r="Z55" i="172"/>
  <c r="Y55" i="172"/>
  <c r="H18" i="171" s="1"/>
  <c r="O55" i="172"/>
  <c r="K55" i="172"/>
  <c r="V54" i="172"/>
  <c r="M54" i="172" s="1"/>
  <c r="U54" i="172"/>
  <c r="Q54" i="172"/>
  <c r="P54" i="172"/>
  <c r="O54" i="172"/>
  <c r="N54" i="172"/>
  <c r="K54" i="172"/>
  <c r="G54" i="172"/>
  <c r="V53" i="172"/>
  <c r="M53" i="172" s="1"/>
  <c r="U53" i="172"/>
  <c r="O53" i="172"/>
  <c r="K53" i="172"/>
  <c r="G53" i="172"/>
  <c r="V52" i="172"/>
  <c r="M52" i="172" s="1"/>
  <c r="U52" i="172"/>
  <c r="O52" i="172"/>
  <c r="K52" i="172"/>
  <c r="G52" i="172"/>
  <c r="V51" i="172"/>
  <c r="M51" i="172" s="1"/>
  <c r="O51" i="172"/>
  <c r="K51" i="172"/>
  <c r="G51" i="172"/>
  <c r="AF50" i="172"/>
  <c r="AG42" i="172" s="1"/>
  <c r="AE50" i="172"/>
  <c r="AD50" i="172"/>
  <c r="L21" i="171" s="1"/>
  <c r="Z50" i="172"/>
  <c r="L19" i="171" s="1"/>
  <c r="Y50" i="172"/>
  <c r="O50" i="172"/>
  <c r="K50" i="172"/>
  <c r="AF49" i="172"/>
  <c r="AE49" i="172"/>
  <c r="V49" i="172"/>
  <c r="U49" i="172"/>
  <c r="O49" i="172"/>
  <c r="M49" i="172"/>
  <c r="N49" i="172" s="1"/>
  <c r="K49" i="172"/>
  <c r="G49" i="172"/>
  <c r="AF48" i="172"/>
  <c r="V48" i="172"/>
  <c r="U48" i="172"/>
  <c r="O48" i="172"/>
  <c r="M48" i="172"/>
  <c r="AE48" i="172" s="1"/>
  <c r="K48" i="172"/>
  <c r="G48" i="172"/>
  <c r="V47" i="172"/>
  <c r="U47" i="172"/>
  <c r="O47" i="172"/>
  <c r="N47" i="172"/>
  <c r="M47" i="172"/>
  <c r="K47" i="172"/>
  <c r="G47" i="172"/>
  <c r="X46" i="172"/>
  <c r="W46" i="172"/>
  <c r="V46" i="172"/>
  <c r="M46" i="172" s="1"/>
  <c r="U46" i="172"/>
  <c r="O46" i="172"/>
  <c r="K46" i="172"/>
  <c r="G46" i="172"/>
  <c r="V45" i="172"/>
  <c r="M45" i="172" s="1"/>
  <c r="U45" i="172"/>
  <c r="O45" i="172"/>
  <c r="K45" i="172"/>
  <c r="G45" i="172"/>
  <c r="V44" i="172"/>
  <c r="M44" i="172" s="1"/>
  <c r="U44" i="172"/>
  <c r="O44" i="172"/>
  <c r="K44" i="172"/>
  <c r="G44" i="172"/>
  <c r="AF43" i="172"/>
  <c r="AE43" i="172"/>
  <c r="V43" i="172"/>
  <c r="M43" i="172" s="1"/>
  <c r="N43" i="172" s="1"/>
  <c r="U43" i="172"/>
  <c r="O43" i="172"/>
  <c r="K43" i="172"/>
  <c r="G43" i="172"/>
  <c r="AF42" i="172"/>
  <c r="AE42" i="172"/>
  <c r="X42" i="172"/>
  <c r="W42" i="172"/>
  <c r="V42" i="172"/>
  <c r="O42" i="172"/>
  <c r="N42" i="172"/>
  <c r="M42" i="172"/>
  <c r="M50" i="172" s="1"/>
  <c r="N50" i="172" s="1"/>
  <c r="K42" i="172"/>
  <c r="G42" i="172"/>
  <c r="AD41" i="172"/>
  <c r="K21" i="171" s="1"/>
  <c r="Z41" i="172"/>
  <c r="K19" i="171" s="1"/>
  <c r="Y41" i="172"/>
  <c r="K18" i="171" s="1"/>
  <c r="O41" i="172"/>
  <c r="K41" i="172"/>
  <c r="V40" i="172"/>
  <c r="M40" i="172" s="1"/>
  <c r="U40" i="172"/>
  <c r="Q40" i="172"/>
  <c r="P40" i="172"/>
  <c r="O40" i="172"/>
  <c r="N40" i="172"/>
  <c r="K40" i="172"/>
  <c r="G40" i="172"/>
  <c r="V39" i="172"/>
  <c r="M39" i="172" s="1"/>
  <c r="U39" i="172"/>
  <c r="O39" i="172"/>
  <c r="K39" i="172"/>
  <c r="G39" i="172"/>
  <c r="X38" i="172"/>
  <c r="W38" i="172"/>
  <c r="V38" i="172"/>
  <c r="M38" i="172" s="1"/>
  <c r="U38" i="172"/>
  <c r="O38" i="172"/>
  <c r="K38" i="172"/>
  <c r="G38" i="172"/>
  <c r="AE37" i="172"/>
  <c r="V37" i="172"/>
  <c r="M37" i="172" s="1"/>
  <c r="U37" i="172"/>
  <c r="O37" i="172"/>
  <c r="K37" i="172"/>
  <c r="G37" i="172"/>
  <c r="AF36" i="172"/>
  <c r="AE36" i="172"/>
  <c r="V36" i="172"/>
  <c r="U36" i="172"/>
  <c r="O36" i="172"/>
  <c r="M36" i="172"/>
  <c r="N36" i="172" s="1"/>
  <c r="K36" i="172"/>
  <c r="G36" i="172"/>
  <c r="AF35" i="172"/>
  <c r="V35" i="172"/>
  <c r="U35" i="172"/>
  <c r="O35" i="172"/>
  <c r="N35" i="172"/>
  <c r="M35" i="172"/>
  <c r="AE35" i="172" s="1"/>
  <c r="K35" i="172"/>
  <c r="G35" i="172"/>
  <c r="X34" i="172"/>
  <c r="W34" i="172"/>
  <c r="V34" i="172"/>
  <c r="M34" i="172" s="1"/>
  <c r="O34" i="172"/>
  <c r="K34" i="172"/>
  <c r="G34" i="172"/>
  <c r="AD33" i="172"/>
  <c r="G21" i="171" s="1"/>
  <c r="Z33" i="172"/>
  <c r="G19" i="171" s="1"/>
  <c r="Y33" i="172"/>
  <c r="G18" i="171" s="1"/>
  <c r="O33" i="172"/>
  <c r="K33" i="172"/>
  <c r="V32" i="172"/>
  <c r="M32" i="172" s="1"/>
  <c r="U32" i="172"/>
  <c r="O32" i="172"/>
  <c r="K32" i="172"/>
  <c r="G32" i="172"/>
  <c r="AF31" i="172"/>
  <c r="AE31" i="172"/>
  <c r="X31" i="172"/>
  <c r="W31" i="172"/>
  <c r="V31" i="172"/>
  <c r="U31" i="172"/>
  <c r="O31" i="172"/>
  <c r="M31" i="172"/>
  <c r="N31" i="172" s="1"/>
  <c r="K31" i="172"/>
  <c r="G31" i="172"/>
  <c r="AF30" i="172"/>
  <c r="V30" i="172"/>
  <c r="U30" i="172"/>
  <c r="O30" i="172"/>
  <c r="N30" i="172"/>
  <c r="M30" i="172"/>
  <c r="AE30" i="172" s="1"/>
  <c r="K30" i="172"/>
  <c r="G30" i="172"/>
  <c r="V29" i="172"/>
  <c r="U29" i="172"/>
  <c r="O29" i="172"/>
  <c r="M29" i="172"/>
  <c r="K29" i="172"/>
  <c r="G29" i="172"/>
  <c r="V28" i="172"/>
  <c r="U28" i="172"/>
  <c r="O28" i="172"/>
  <c r="N28" i="172"/>
  <c r="Q28" i="172" s="1"/>
  <c r="M28" i="172"/>
  <c r="K28" i="172"/>
  <c r="G28" i="172"/>
  <c r="V27" i="172"/>
  <c r="M27" i="172" s="1"/>
  <c r="U27" i="172"/>
  <c r="O27" i="172"/>
  <c r="N27" i="172"/>
  <c r="K27" i="172"/>
  <c r="G27" i="172"/>
  <c r="V26" i="172"/>
  <c r="M26" i="172" s="1"/>
  <c r="O26" i="172"/>
  <c r="K26" i="172"/>
  <c r="G26" i="172"/>
  <c r="AD25" i="172"/>
  <c r="Z25" i="172"/>
  <c r="Y25" i="172"/>
  <c r="F18" i="171" s="1"/>
  <c r="O25" i="172"/>
  <c r="K25" i="172"/>
  <c r="AF24" i="172"/>
  <c r="AE24" i="172"/>
  <c r="V24" i="172"/>
  <c r="M24" i="172" s="1"/>
  <c r="N24" i="172" s="1"/>
  <c r="U24" i="172"/>
  <c r="O24" i="172"/>
  <c r="K24" i="172"/>
  <c r="G24" i="172"/>
  <c r="AE23" i="172"/>
  <c r="V23" i="172"/>
  <c r="M23" i="172" s="1"/>
  <c r="U23" i="172"/>
  <c r="O23" i="172"/>
  <c r="K23" i="172"/>
  <c r="G23" i="172"/>
  <c r="AF22" i="172"/>
  <c r="AE22" i="172"/>
  <c r="V22" i="172"/>
  <c r="U22" i="172"/>
  <c r="O22" i="172"/>
  <c r="M22" i="172"/>
  <c r="N22" i="172" s="1"/>
  <c r="K22" i="172"/>
  <c r="G22" i="172"/>
  <c r="AF21" i="172"/>
  <c r="V21" i="172"/>
  <c r="U21" i="172"/>
  <c r="O21" i="172"/>
  <c r="N21" i="172"/>
  <c r="M21" i="172"/>
  <c r="AE21" i="172" s="1"/>
  <c r="K21" i="172"/>
  <c r="G21" i="172"/>
  <c r="X20" i="172"/>
  <c r="W20" i="172"/>
  <c r="V20" i="172"/>
  <c r="M20" i="172" s="1"/>
  <c r="U20" i="172"/>
  <c r="O20" i="172"/>
  <c r="N20" i="172"/>
  <c r="K20" i="172"/>
  <c r="G20" i="172"/>
  <c r="V19" i="172"/>
  <c r="M19" i="172" s="1"/>
  <c r="U19" i="172"/>
  <c r="O19" i="172"/>
  <c r="K19" i="172"/>
  <c r="G19" i="172"/>
  <c r="V18" i="172"/>
  <c r="M18" i="172" s="1"/>
  <c r="U18" i="172"/>
  <c r="O18" i="172"/>
  <c r="K18" i="172"/>
  <c r="G18" i="172"/>
  <c r="AE17" i="172"/>
  <c r="V17" i="172"/>
  <c r="M17" i="172" s="1"/>
  <c r="U17" i="172"/>
  <c r="O17" i="172"/>
  <c r="K17" i="172"/>
  <c r="G17" i="172"/>
  <c r="AE16" i="172"/>
  <c r="X16" i="172"/>
  <c r="W16" i="172"/>
  <c r="V16" i="172"/>
  <c r="O16" i="172"/>
  <c r="N16" i="172"/>
  <c r="M16" i="172"/>
  <c r="K16" i="172"/>
  <c r="G16" i="172"/>
  <c r="AD15" i="172"/>
  <c r="Z15" i="172"/>
  <c r="Y15" i="172"/>
  <c r="O15" i="172"/>
  <c r="M15" i="172"/>
  <c r="N15" i="172" s="1"/>
  <c r="E14" i="171" s="1"/>
  <c r="E15" i="171" s="1"/>
  <c r="K15" i="172"/>
  <c r="V14" i="172"/>
  <c r="U14" i="172"/>
  <c r="O14" i="172"/>
  <c r="N14" i="172"/>
  <c r="Q14" i="172" s="1"/>
  <c r="M14" i="172"/>
  <c r="K14" i="172"/>
  <c r="G14" i="172"/>
  <c r="V13" i="172"/>
  <c r="M13" i="172" s="1"/>
  <c r="U13" i="172"/>
  <c r="O13" i="172"/>
  <c r="N13" i="172"/>
  <c r="K13" i="172"/>
  <c r="G13" i="172"/>
  <c r="X12" i="172"/>
  <c r="W12" i="172"/>
  <c r="V12" i="172"/>
  <c r="M12" i="172" s="1"/>
  <c r="U12" i="172"/>
  <c r="O12" i="172"/>
  <c r="K12" i="172"/>
  <c r="G12" i="172"/>
  <c r="AE11" i="172"/>
  <c r="V11" i="172"/>
  <c r="M11" i="172" s="1"/>
  <c r="U11" i="172"/>
  <c r="O11" i="172"/>
  <c r="K11" i="172"/>
  <c r="G11" i="172"/>
  <c r="AF10" i="172"/>
  <c r="AE10" i="172"/>
  <c r="V10" i="172"/>
  <c r="M10" i="172" s="1"/>
  <c r="N10" i="172" s="1"/>
  <c r="U10" i="172"/>
  <c r="O10" i="172"/>
  <c r="K10" i="172"/>
  <c r="G10" i="172"/>
  <c r="AF9" i="172"/>
  <c r="X9" i="172"/>
  <c r="W9" i="172"/>
  <c r="V9" i="172"/>
  <c r="O9" i="172"/>
  <c r="N9" i="172"/>
  <c r="Q9" i="172" s="1"/>
  <c r="M9" i="172"/>
  <c r="AE9" i="172" s="1"/>
  <c r="K9" i="172"/>
  <c r="G9" i="172"/>
  <c r="AD8" i="172"/>
  <c r="Z8" i="172"/>
  <c r="Z2" i="172" s="1"/>
  <c r="Y8" i="172"/>
  <c r="Y2" i="172" s="1"/>
  <c r="O8" i="172"/>
  <c r="K8" i="172"/>
  <c r="V7" i="172"/>
  <c r="M7" i="172" s="1"/>
  <c r="U7" i="172"/>
  <c r="O7" i="172"/>
  <c r="K7" i="172"/>
  <c r="G7" i="172"/>
  <c r="X6" i="172"/>
  <c r="W6" i="172"/>
  <c r="V6" i="172"/>
  <c r="M6" i="172" s="1"/>
  <c r="U6" i="172"/>
  <c r="O6" i="172"/>
  <c r="K6" i="172"/>
  <c r="G6" i="172"/>
  <c r="AF5" i="172"/>
  <c r="AE5" i="172"/>
  <c r="V5" i="172"/>
  <c r="O5" i="172"/>
  <c r="M5" i="172"/>
  <c r="M8" i="172" s="1"/>
  <c r="K5" i="172"/>
  <c r="G5" i="172"/>
  <c r="AD2" i="172"/>
  <c r="AC2" i="172"/>
  <c r="H2" i="172"/>
  <c r="H1" i="172"/>
  <c r="F1" i="172"/>
  <c r="F2" i="172" s="1"/>
  <c r="D1" i="172"/>
  <c r="M22" i="171"/>
  <c r="L22" i="171"/>
  <c r="K22" i="171"/>
  <c r="J22" i="171"/>
  <c r="I22" i="171"/>
  <c r="H22" i="171"/>
  <c r="G22" i="171"/>
  <c r="F22" i="171"/>
  <c r="E22" i="171"/>
  <c r="D22" i="171"/>
  <c r="M21" i="171"/>
  <c r="I21" i="171"/>
  <c r="H21" i="171"/>
  <c r="F21" i="171"/>
  <c r="E21" i="171"/>
  <c r="D21" i="171"/>
  <c r="M20" i="171"/>
  <c r="L20" i="171"/>
  <c r="K20" i="171"/>
  <c r="J20" i="171"/>
  <c r="I20" i="171"/>
  <c r="H20" i="171"/>
  <c r="G20" i="171"/>
  <c r="F20" i="171"/>
  <c r="E20" i="171"/>
  <c r="D20" i="171"/>
  <c r="M19" i="171"/>
  <c r="I19" i="171"/>
  <c r="H19" i="171"/>
  <c r="F19" i="171"/>
  <c r="E19" i="171"/>
  <c r="D19" i="171"/>
  <c r="M18" i="171"/>
  <c r="L18" i="171"/>
  <c r="I18" i="171"/>
  <c r="E18" i="171"/>
  <c r="D18" i="171"/>
  <c r="M17" i="171"/>
  <c r="L17" i="171"/>
  <c r="K17" i="171"/>
  <c r="J17" i="171"/>
  <c r="I17" i="171"/>
  <c r="H17" i="171"/>
  <c r="G17" i="171"/>
  <c r="F17" i="171"/>
  <c r="E17" i="171"/>
  <c r="D17" i="171"/>
  <c r="M16" i="171"/>
  <c r="L16" i="171"/>
  <c r="K16" i="171"/>
  <c r="J16" i="171"/>
  <c r="I16" i="171"/>
  <c r="H16" i="171"/>
  <c r="G16" i="171"/>
  <c r="F16" i="171"/>
  <c r="E16" i="171"/>
  <c r="D16" i="171"/>
  <c r="L15" i="171"/>
  <c r="L14" i="171"/>
  <c r="M13" i="171"/>
  <c r="L13" i="171"/>
  <c r="K13" i="171"/>
  <c r="J13" i="171"/>
  <c r="I13" i="171"/>
  <c r="E6" i="171" s="1"/>
  <c r="H13" i="171"/>
  <c r="G13" i="171"/>
  <c r="F13" i="171"/>
  <c r="E13" i="171"/>
  <c r="D13" i="171"/>
  <c r="N6" i="171"/>
  <c r="M6" i="171"/>
  <c r="L6" i="171"/>
  <c r="K6" i="171"/>
  <c r="I6" i="171"/>
  <c r="G6" i="171"/>
  <c r="F6" i="171"/>
  <c r="F3" i="171"/>
  <c r="C3" i="171"/>
  <c r="P47" i="176" l="1"/>
  <c r="L14" i="175"/>
  <c r="L15" i="175" s="1"/>
  <c r="Q47" i="176"/>
  <c r="R39" i="176" s="1"/>
  <c r="F14" i="175"/>
  <c r="F15" i="175" s="1"/>
  <c r="Q22" i="176"/>
  <c r="R15" i="176" s="1"/>
  <c r="P22" i="176"/>
  <c r="Q14" i="176"/>
  <c r="R8" i="176" s="1"/>
  <c r="P14" i="176"/>
  <c r="E14" i="175"/>
  <c r="E15" i="175" s="1"/>
  <c r="M14" i="175"/>
  <c r="M15" i="175" s="1"/>
  <c r="Q75" i="176"/>
  <c r="R67" i="176" s="1"/>
  <c r="P75" i="176"/>
  <c r="Q7" i="176"/>
  <c r="R5" i="176" s="1"/>
  <c r="P7" i="176"/>
  <c r="D2" i="176"/>
  <c r="D14" i="175"/>
  <c r="Q61" i="176"/>
  <c r="R53" i="176" s="1"/>
  <c r="I14" i="175"/>
  <c r="I15" i="175" s="1"/>
  <c r="P61" i="176"/>
  <c r="Q52" i="176"/>
  <c r="R48" i="176" s="1"/>
  <c r="P52" i="176"/>
  <c r="H14" i="175"/>
  <c r="H15" i="175" s="1"/>
  <c r="K14" i="175"/>
  <c r="Q38" i="176"/>
  <c r="R31" i="176" s="1"/>
  <c r="P38" i="176"/>
  <c r="G14" i="175"/>
  <c r="G15" i="175" s="1"/>
  <c r="P30" i="176"/>
  <c r="Q30" i="176"/>
  <c r="R23" i="176" s="1"/>
  <c r="J14" i="175"/>
  <c r="J15" i="175" s="1"/>
  <c r="Q66" i="176"/>
  <c r="R62" i="176" s="1"/>
  <c r="P66" i="176"/>
  <c r="N30" i="174"/>
  <c r="AE30" i="174"/>
  <c r="AF30" i="174"/>
  <c r="AG23" i="174" s="1"/>
  <c r="Q61" i="174"/>
  <c r="P61" i="174"/>
  <c r="Q23" i="174"/>
  <c r="P23" i="174"/>
  <c r="AE22" i="174"/>
  <c r="AF22" i="174"/>
  <c r="AG15" i="174" s="1"/>
  <c r="N22" i="174"/>
  <c r="Q15" i="174"/>
  <c r="P15" i="174"/>
  <c r="Q28" i="174"/>
  <c r="P28" i="174"/>
  <c r="Q13" i="174"/>
  <c r="P13" i="174"/>
  <c r="F2" i="174"/>
  <c r="I3" i="173"/>
  <c r="Q46" i="174"/>
  <c r="P46" i="174"/>
  <c r="Q55" i="174"/>
  <c r="P55" i="174"/>
  <c r="Q40" i="174"/>
  <c r="P40" i="174"/>
  <c r="Q26" i="174"/>
  <c r="P26" i="174"/>
  <c r="L14" i="173"/>
  <c r="L15" i="173" s="1"/>
  <c r="Q48" i="174"/>
  <c r="R40" i="174" s="1"/>
  <c r="P48" i="174"/>
  <c r="Q17" i="174"/>
  <c r="P17" i="174"/>
  <c r="Q33" i="174"/>
  <c r="P33" i="174"/>
  <c r="Q12" i="174"/>
  <c r="P12" i="174"/>
  <c r="Q75" i="174"/>
  <c r="P75" i="174"/>
  <c r="Q54" i="174"/>
  <c r="P54" i="174"/>
  <c r="Q8" i="174"/>
  <c r="P8" i="174"/>
  <c r="P24" i="174"/>
  <c r="Q24" i="174"/>
  <c r="Q64" i="174"/>
  <c r="P64" i="174"/>
  <c r="Q38" i="174"/>
  <c r="P38" i="174"/>
  <c r="N39" i="174"/>
  <c r="AE39" i="174"/>
  <c r="AF39" i="174"/>
  <c r="AG31" i="174" s="1"/>
  <c r="AE14" i="174"/>
  <c r="N14" i="174"/>
  <c r="AF14" i="174"/>
  <c r="AG8" i="174" s="1"/>
  <c r="Q45" i="174"/>
  <c r="P45" i="174"/>
  <c r="P62" i="174"/>
  <c r="Q62" i="174"/>
  <c r="Q5" i="174"/>
  <c r="P5" i="174"/>
  <c r="Q6" i="174"/>
  <c r="P6" i="174"/>
  <c r="N53" i="174"/>
  <c r="AF53" i="174"/>
  <c r="AG49" i="174" s="1"/>
  <c r="AE53" i="174"/>
  <c r="P69" i="174"/>
  <c r="Q69" i="174"/>
  <c r="P76" i="174"/>
  <c r="Q76" i="174"/>
  <c r="AF68" i="174"/>
  <c r="AG64" i="174" s="1"/>
  <c r="AE68" i="174"/>
  <c r="N68" i="174"/>
  <c r="Q19" i="174"/>
  <c r="P19" i="174"/>
  <c r="Q20" i="174"/>
  <c r="P20" i="174"/>
  <c r="AF7" i="174"/>
  <c r="AG5" i="174" s="1"/>
  <c r="AE7" i="174"/>
  <c r="N7" i="174"/>
  <c r="AF63" i="174"/>
  <c r="AG54" i="174" s="1"/>
  <c r="AE63" i="174"/>
  <c r="N63" i="174"/>
  <c r="Q73" i="174"/>
  <c r="P73" i="174"/>
  <c r="Q52" i="174"/>
  <c r="P52" i="174"/>
  <c r="AF77" i="174"/>
  <c r="AG69" i="174" s="1"/>
  <c r="AE77" i="174"/>
  <c r="N77" i="174"/>
  <c r="Q77" i="172"/>
  <c r="R71" i="172" s="1"/>
  <c r="M14" i="171"/>
  <c r="M15" i="171" s="1"/>
  <c r="P77" i="172"/>
  <c r="P14" i="172"/>
  <c r="P28" i="172"/>
  <c r="N65" i="172"/>
  <c r="Q65" i="172" s="1"/>
  <c r="R56" i="172" s="1"/>
  <c r="I3" i="171"/>
  <c r="AE65" i="172"/>
  <c r="P9" i="172"/>
  <c r="N8" i="172"/>
  <c r="AF8" i="172"/>
  <c r="AG5" i="172" s="1"/>
  <c r="AE8" i="172"/>
  <c r="N6" i="172"/>
  <c r="AE6" i="172"/>
  <c r="AF6" i="172"/>
  <c r="AF7" i="172"/>
  <c r="AE7" i="172"/>
  <c r="N7" i="172"/>
  <c r="Q10" i="172"/>
  <c r="P10" i="172"/>
  <c r="N11" i="172"/>
  <c r="AF11" i="172"/>
  <c r="AF12" i="172"/>
  <c r="AE12" i="172"/>
  <c r="N12" i="172"/>
  <c r="Q13" i="172"/>
  <c r="P13" i="172"/>
  <c r="AF13" i="172"/>
  <c r="AE13" i="172"/>
  <c r="AF14" i="172"/>
  <c r="AE14" i="172"/>
  <c r="AF15" i="172"/>
  <c r="AG9" i="172" s="1"/>
  <c r="AE15" i="172"/>
  <c r="Q15" i="172"/>
  <c r="R9" i="172" s="1"/>
  <c r="P15" i="172"/>
  <c r="M25" i="172"/>
  <c r="AF16" i="172"/>
  <c r="Q16" i="172"/>
  <c r="P16" i="172"/>
  <c r="AF17" i="172"/>
  <c r="N17" i="172"/>
  <c r="N18" i="172"/>
  <c r="AF18" i="172"/>
  <c r="AE18" i="172"/>
  <c r="AF19" i="172"/>
  <c r="AE19" i="172"/>
  <c r="N19" i="172"/>
  <c r="Q20" i="172"/>
  <c r="P20" i="172"/>
  <c r="AF20" i="172"/>
  <c r="AE20" i="172"/>
  <c r="Q21" i="172"/>
  <c r="P21" i="172"/>
  <c r="Q22" i="172"/>
  <c r="P22" i="172"/>
  <c r="N23" i="172"/>
  <c r="AF23" i="172"/>
  <c r="Q24" i="172"/>
  <c r="P24" i="172"/>
  <c r="AF26" i="172"/>
  <c r="AE26" i="172"/>
  <c r="N26" i="172"/>
  <c r="M33" i="172"/>
  <c r="Q27" i="172"/>
  <c r="P27" i="172"/>
  <c r="AF27" i="172"/>
  <c r="AE27" i="172"/>
  <c r="AF28" i="172"/>
  <c r="AE28" i="172"/>
  <c r="AF29" i="172"/>
  <c r="AE29" i="172"/>
  <c r="N29" i="172"/>
  <c r="Q30" i="172"/>
  <c r="P30" i="172"/>
  <c r="Q31" i="172"/>
  <c r="P31" i="172"/>
  <c r="N32" i="172"/>
  <c r="AF32" i="172"/>
  <c r="AE32" i="172"/>
  <c r="M41" i="172"/>
  <c r="N41" i="172" s="1"/>
  <c r="Q41" i="172" s="1"/>
  <c r="R34" i="172" s="1"/>
  <c r="N34" i="172"/>
  <c r="AF34" i="172"/>
  <c r="AE34" i="172"/>
  <c r="Q35" i="172"/>
  <c r="P35" i="172"/>
  <c r="Q36" i="172"/>
  <c r="P36" i="172"/>
  <c r="N37" i="172"/>
  <c r="AF37" i="172"/>
  <c r="AF38" i="172"/>
  <c r="AE38" i="172"/>
  <c r="N38" i="172"/>
  <c r="N39" i="172"/>
  <c r="AF39" i="172"/>
  <c r="AE39" i="172"/>
  <c r="AF40" i="172"/>
  <c r="AE40" i="172"/>
  <c r="Q50" i="172"/>
  <c r="R42" i="172" s="1"/>
  <c r="P50" i="172"/>
  <c r="Q42" i="172"/>
  <c r="P42" i="172"/>
  <c r="Q43" i="172"/>
  <c r="P43" i="172"/>
  <c r="N44" i="172"/>
  <c r="AF44" i="172"/>
  <c r="AE44" i="172"/>
  <c r="AF45" i="172"/>
  <c r="AE45" i="172"/>
  <c r="N45" i="172"/>
  <c r="N46" i="172"/>
  <c r="AF46" i="172"/>
  <c r="AE46" i="172"/>
  <c r="AF47" i="172"/>
  <c r="AE47" i="172"/>
  <c r="Q47" i="172"/>
  <c r="P47" i="172"/>
  <c r="Q49" i="172"/>
  <c r="P49" i="172"/>
  <c r="M55" i="172"/>
  <c r="N55" i="172" s="1"/>
  <c r="Q55" i="172" s="1"/>
  <c r="R51" i="172" s="1"/>
  <c r="N51" i="172"/>
  <c r="AF51" i="172"/>
  <c r="AE51" i="172"/>
  <c r="AF52" i="172"/>
  <c r="AE52" i="172"/>
  <c r="N52" i="172"/>
  <c r="N53" i="172"/>
  <c r="AF53" i="172"/>
  <c r="AE53" i="172"/>
  <c r="AF54" i="172"/>
  <c r="AE54" i="172"/>
  <c r="H14" i="171"/>
  <c r="H15" i="171" s="1"/>
  <c r="P55" i="172"/>
  <c r="AF56" i="172"/>
  <c r="AE56" i="172"/>
  <c r="Q56" i="172"/>
  <c r="P56" i="172"/>
  <c r="Q57" i="172"/>
  <c r="P57" i="172"/>
  <c r="N58" i="172"/>
  <c r="AF58" i="172"/>
  <c r="Q59" i="172"/>
  <c r="P59" i="172"/>
  <c r="N60" i="172"/>
  <c r="AF60" i="172"/>
  <c r="AE60" i="172"/>
  <c r="AF61" i="172"/>
  <c r="AE61" i="172"/>
  <c r="N61" i="172"/>
  <c r="N62" i="172"/>
  <c r="AF62" i="172"/>
  <c r="AE62" i="172"/>
  <c r="AF63" i="172"/>
  <c r="AE63" i="172"/>
  <c r="I14" i="171"/>
  <c r="I15" i="171" s="1"/>
  <c r="M70" i="172"/>
  <c r="N66" i="172"/>
  <c r="N67" i="172"/>
  <c r="AE67" i="172"/>
  <c r="AF67" i="172"/>
  <c r="AF68" i="172"/>
  <c r="AE68" i="172"/>
  <c r="N68" i="172"/>
  <c r="N69" i="172"/>
  <c r="AF69" i="172"/>
  <c r="AE69" i="172"/>
  <c r="Q71" i="172"/>
  <c r="P71" i="172"/>
  <c r="N72" i="172"/>
  <c r="AF72" i="172"/>
  <c r="Q73" i="172"/>
  <c r="P73" i="172"/>
  <c r="N74" i="172"/>
  <c r="AF74" i="172"/>
  <c r="AE74" i="172"/>
  <c r="AF75" i="172"/>
  <c r="AE75" i="172"/>
  <c r="AF76" i="172"/>
  <c r="AE76" i="172"/>
  <c r="P76" i="172"/>
  <c r="Q76" i="172"/>
  <c r="AF77" i="172"/>
  <c r="AG71" i="172" s="1"/>
  <c r="AE77" i="172"/>
  <c r="N48" i="172"/>
  <c r="N64" i="172"/>
  <c r="N5" i="172"/>
  <c r="AD78" i="170"/>
  <c r="Z78" i="170"/>
  <c r="Y78" i="170"/>
  <c r="O78" i="170"/>
  <c r="K78" i="170"/>
  <c r="AF77" i="170"/>
  <c r="V77" i="170"/>
  <c r="U77" i="170"/>
  <c r="O77" i="170"/>
  <c r="M77" i="170"/>
  <c r="AE77" i="170" s="1"/>
  <c r="K77" i="170"/>
  <c r="G77" i="170"/>
  <c r="AF76" i="170"/>
  <c r="AE76" i="170"/>
  <c r="V76" i="170"/>
  <c r="U76" i="170"/>
  <c r="O76" i="170"/>
  <c r="M76" i="170"/>
  <c r="N76" i="170" s="1"/>
  <c r="K76" i="170"/>
  <c r="G76" i="170"/>
  <c r="V75" i="170"/>
  <c r="M75" i="170" s="1"/>
  <c r="U75" i="170"/>
  <c r="O75" i="170"/>
  <c r="K75" i="170"/>
  <c r="G75" i="170"/>
  <c r="AF74" i="170"/>
  <c r="AE74" i="170"/>
  <c r="X74" i="170"/>
  <c r="W74" i="170"/>
  <c r="V74" i="170"/>
  <c r="U74" i="170"/>
  <c r="O74" i="170"/>
  <c r="M74" i="170"/>
  <c r="N74" i="170" s="1"/>
  <c r="K74" i="170"/>
  <c r="G74" i="170"/>
  <c r="V73" i="170"/>
  <c r="M73" i="170" s="1"/>
  <c r="U73" i="170"/>
  <c r="O73" i="170"/>
  <c r="K73" i="170"/>
  <c r="G73" i="170"/>
  <c r="V72" i="170"/>
  <c r="M72" i="170" s="1"/>
  <c r="U72" i="170"/>
  <c r="O72" i="170"/>
  <c r="K72" i="170"/>
  <c r="G72" i="170"/>
  <c r="V71" i="170"/>
  <c r="M71" i="170" s="1"/>
  <c r="U71" i="170"/>
  <c r="O71" i="170"/>
  <c r="K71" i="170"/>
  <c r="G71" i="170"/>
  <c r="X70" i="170"/>
  <c r="W70" i="170"/>
  <c r="V70" i="170"/>
  <c r="M70" i="170" s="1"/>
  <c r="O70" i="170"/>
  <c r="K70" i="170"/>
  <c r="G70" i="170"/>
  <c r="AD69" i="170"/>
  <c r="Z69" i="170"/>
  <c r="Y69" i="170"/>
  <c r="O69" i="170"/>
  <c r="K69" i="170"/>
  <c r="V68" i="170"/>
  <c r="M68" i="170" s="1"/>
  <c r="U68" i="170"/>
  <c r="O68" i="170"/>
  <c r="K68" i="170"/>
  <c r="G68" i="170"/>
  <c r="V67" i="170"/>
  <c r="U67" i="170"/>
  <c r="O67" i="170"/>
  <c r="M67" i="170"/>
  <c r="N67" i="170" s="1"/>
  <c r="K67" i="170"/>
  <c r="G67" i="170"/>
  <c r="V66" i="170"/>
  <c r="M66" i="170" s="1"/>
  <c r="U66" i="170"/>
  <c r="O66" i="170"/>
  <c r="K66" i="170"/>
  <c r="G66" i="170"/>
  <c r="V65" i="170"/>
  <c r="M65" i="170" s="1"/>
  <c r="O65" i="170"/>
  <c r="K65" i="170"/>
  <c r="G65" i="170"/>
  <c r="AD64" i="170"/>
  <c r="Z64" i="170"/>
  <c r="Y64" i="170"/>
  <c r="O64" i="170"/>
  <c r="K64" i="170"/>
  <c r="V63" i="170"/>
  <c r="U63" i="170"/>
  <c r="O63" i="170"/>
  <c r="M63" i="170"/>
  <c r="AF63" i="170" s="1"/>
  <c r="K63" i="170"/>
  <c r="G63" i="170"/>
  <c r="AF62" i="170"/>
  <c r="V62" i="170"/>
  <c r="U62" i="170"/>
  <c r="O62" i="170"/>
  <c r="N62" i="170"/>
  <c r="P62" i="170" s="1"/>
  <c r="M62" i="170"/>
  <c r="AE62" i="170" s="1"/>
  <c r="K62" i="170"/>
  <c r="Q62" i="170" s="1"/>
  <c r="G62" i="170"/>
  <c r="AE61" i="170"/>
  <c r="V61" i="170"/>
  <c r="U61" i="170"/>
  <c r="O61" i="170"/>
  <c r="M61" i="170"/>
  <c r="AF61" i="170" s="1"/>
  <c r="K61" i="170"/>
  <c r="G61" i="170"/>
  <c r="V60" i="170"/>
  <c r="M60" i="170" s="1"/>
  <c r="U60" i="170"/>
  <c r="O60" i="170"/>
  <c r="K60" i="170"/>
  <c r="G60" i="170"/>
  <c r="AF59" i="170"/>
  <c r="V59" i="170"/>
  <c r="U59" i="170"/>
  <c r="O59" i="170"/>
  <c r="N59" i="170"/>
  <c r="Q59" i="170" s="1"/>
  <c r="M59" i="170"/>
  <c r="AE59" i="170" s="1"/>
  <c r="K59" i="170"/>
  <c r="G59" i="170"/>
  <c r="AE58" i="170"/>
  <c r="V58" i="170"/>
  <c r="U58" i="170"/>
  <c r="Q58" i="170"/>
  <c r="O58" i="170"/>
  <c r="N58" i="170"/>
  <c r="P58" i="170" s="1"/>
  <c r="M58" i="170"/>
  <c r="AF58" i="170" s="1"/>
  <c r="K58" i="170"/>
  <c r="G58" i="170"/>
  <c r="AE57" i="170"/>
  <c r="V57" i="170"/>
  <c r="Q57" i="170"/>
  <c r="O57" i="170"/>
  <c r="N57" i="170"/>
  <c r="P57" i="170" s="1"/>
  <c r="M57" i="170"/>
  <c r="K57" i="170"/>
  <c r="G57" i="170"/>
  <c r="AD56" i="170"/>
  <c r="H21" i="169" s="1"/>
  <c r="Z56" i="170"/>
  <c r="Y56" i="170"/>
  <c r="O56" i="170"/>
  <c r="K56" i="170"/>
  <c r="V55" i="170"/>
  <c r="U55" i="170"/>
  <c r="O55" i="170"/>
  <c r="M55" i="170"/>
  <c r="N55" i="170" s="1"/>
  <c r="K55" i="170"/>
  <c r="G55" i="170"/>
  <c r="V54" i="170"/>
  <c r="U54" i="170"/>
  <c r="Q54" i="170"/>
  <c r="O54" i="170"/>
  <c r="N54" i="170"/>
  <c r="P54" i="170" s="1"/>
  <c r="M54" i="170"/>
  <c r="AF54" i="170" s="1"/>
  <c r="K54" i="170"/>
  <c r="G54" i="170"/>
  <c r="V53" i="170"/>
  <c r="U53" i="170"/>
  <c r="O53" i="170"/>
  <c r="M53" i="170"/>
  <c r="N53" i="170" s="1"/>
  <c r="K53" i="170"/>
  <c r="G53" i="170"/>
  <c r="V52" i="170"/>
  <c r="O52" i="170"/>
  <c r="M52" i="170"/>
  <c r="N52" i="170" s="1"/>
  <c r="K52" i="170"/>
  <c r="G52" i="170"/>
  <c r="AD51" i="170"/>
  <c r="Z51" i="170"/>
  <c r="Y51" i="170"/>
  <c r="O51" i="170"/>
  <c r="K51" i="170"/>
  <c r="V50" i="170"/>
  <c r="M50" i="170" s="1"/>
  <c r="U50" i="170"/>
  <c r="O50" i="170"/>
  <c r="K50" i="170"/>
  <c r="G50" i="170"/>
  <c r="V49" i="170"/>
  <c r="U49" i="170"/>
  <c r="O49" i="170"/>
  <c r="M49" i="170"/>
  <c r="AF49" i="170" s="1"/>
  <c r="K49" i="170"/>
  <c r="G49" i="170"/>
  <c r="V48" i="170"/>
  <c r="M48" i="170" s="1"/>
  <c r="U48" i="170"/>
  <c r="O48" i="170"/>
  <c r="K48" i="170"/>
  <c r="G48" i="170"/>
  <c r="X47" i="170"/>
  <c r="W47" i="170"/>
  <c r="V47" i="170"/>
  <c r="U47" i="170"/>
  <c r="O47" i="170"/>
  <c r="M47" i="170"/>
  <c r="AF47" i="170" s="1"/>
  <c r="K47" i="170"/>
  <c r="G47" i="170"/>
  <c r="V46" i="170"/>
  <c r="M46" i="170" s="1"/>
  <c r="U46" i="170"/>
  <c r="O46" i="170"/>
  <c r="K46" i="170"/>
  <c r="G46" i="170"/>
  <c r="V45" i="170"/>
  <c r="M45" i="170" s="1"/>
  <c r="U45" i="170"/>
  <c r="O45" i="170"/>
  <c r="K45" i="170"/>
  <c r="G45" i="170"/>
  <c r="V44" i="170"/>
  <c r="M44" i="170" s="1"/>
  <c r="U44" i="170"/>
  <c r="O44" i="170"/>
  <c r="K44" i="170"/>
  <c r="G44" i="170"/>
  <c r="X43" i="170"/>
  <c r="W43" i="170"/>
  <c r="V43" i="170"/>
  <c r="M43" i="170" s="1"/>
  <c r="O43" i="170"/>
  <c r="K43" i="170"/>
  <c r="G43" i="170"/>
  <c r="AD42" i="170"/>
  <c r="Z42" i="170"/>
  <c r="Y42" i="170"/>
  <c r="O42" i="170"/>
  <c r="K42" i="170"/>
  <c r="V41" i="170"/>
  <c r="M41" i="170" s="1"/>
  <c r="U41" i="170"/>
  <c r="O41" i="170"/>
  <c r="K41" i="170"/>
  <c r="G41" i="170"/>
  <c r="V40" i="170"/>
  <c r="M40" i="170" s="1"/>
  <c r="U40" i="170"/>
  <c r="O40" i="170"/>
  <c r="K40" i="170"/>
  <c r="G40" i="170"/>
  <c r="AE39" i="170"/>
  <c r="V39" i="170"/>
  <c r="U39" i="170"/>
  <c r="Q39" i="170"/>
  <c r="O39" i="170"/>
  <c r="N39" i="170"/>
  <c r="P39" i="170" s="1"/>
  <c r="M39" i="170"/>
  <c r="AF39" i="170" s="1"/>
  <c r="K39" i="170"/>
  <c r="G39" i="170"/>
  <c r="X38" i="170"/>
  <c r="W38" i="170"/>
  <c r="V38" i="170"/>
  <c r="M38" i="170" s="1"/>
  <c r="U38" i="170"/>
  <c r="O38" i="170"/>
  <c r="K38" i="170"/>
  <c r="G38" i="170"/>
  <c r="AE37" i="170"/>
  <c r="V37" i="170"/>
  <c r="U37" i="170"/>
  <c r="Q37" i="170"/>
  <c r="O37" i="170"/>
  <c r="N37" i="170"/>
  <c r="P37" i="170" s="1"/>
  <c r="M37" i="170"/>
  <c r="AF37" i="170" s="1"/>
  <c r="K37" i="170"/>
  <c r="G37" i="170"/>
  <c r="V36" i="170"/>
  <c r="M36" i="170" s="1"/>
  <c r="U36" i="170"/>
  <c r="O36" i="170"/>
  <c r="K36" i="170"/>
  <c r="G36" i="170"/>
  <c r="V35" i="170"/>
  <c r="M35" i="170" s="1"/>
  <c r="U35" i="170"/>
  <c r="O35" i="170"/>
  <c r="K35" i="170"/>
  <c r="G35" i="170"/>
  <c r="X34" i="170"/>
  <c r="W34" i="170"/>
  <c r="V34" i="170"/>
  <c r="Q34" i="170"/>
  <c r="O34" i="170"/>
  <c r="N34" i="170"/>
  <c r="P34" i="170" s="1"/>
  <c r="M34" i="170"/>
  <c r="AF34" i="170" s="1"/>
  <c r="K34" i="170"/>
  <c r="G34" i="170"/>
  <c r="AD33" i="170"/>
  <c r="G21" i="169" s="1"/>
  <c r="Z33" i="170"/>
  <c r="Y33" i="170"/>
  <c r="O33" i="170"/>
  <c r="K33" i="170"/>
  <c r="V32" i="170"/>
  <c r="M32" i="170" s="1"/>
  <c r="U32" i="170"/>
  <c r="O32" i="170"/>
  <c r="K32" i="170"/>
  <c r="G32" i="170"/>
  <c r="X31" i="170"/>
  <c r="W31" i="170"/>
  <c r="V31" i="170"/>
  <c r="M31" i="170" s="1"/>
  <c r="U31" i="170"/>
  <c r="O31" i="170"/>
  <c r="K31" i="170"/>
  <c r="G31" i="170"/>
  <c r="V30" i="170"/>
  <c r="M30" i="170" s="1"/>
  <c r="U30" i="170"/>
  <c r="O30" i="170"/>
  <c r="K30" i="170"/>
  <c r="G30" i="170"/>
  <c r="V29" i="170"/>
  <c r="U29" i="170"/>
  <c r="Q29" i="170"/>
  <c r="O29" i="170"/>
  <c r="N29" i="170"/>
  <c r="P29" i="170" s="1"/>
  <c r="M29" i="170"/>
  <c r="AF29" i="170" s="1"/>
  <c r="K29" i="170"/>
  <c r="G29" i="170"/>
  <c r="V28" i="170"/>
  <c r="U28" i="170"/>
  <c r="O28" i="170"/>
  <c r="M28" i="170"/>
  <c r="N28" i="170" s="1"/>
  <c r="K28" i="170"/>
  <c r="G28" i="170"/>
  <c r="AF27" i="170"/>
  <c r="AE27" i="170"/>
  <c r="V27" i="170"/>
  <c r="U27" i="170"/>
  <c r="O27" i="170"/>
  <c r="M27" i="170"/>
  <c r="N27" i="170" s="1"/>
  <c r="K27" i="170"/>
  <c r="G27" i="170"/>
  <c r="AF26" i="170"/>
  <c r="AE26" i="170"/>
  <c r="V26" i="170"/>
  <c r="O26" i="170"/>
  <c r="M26" i="170"/>
  <c r="N26" i="170" s="1"/>
  <c r="K26" i="170"/>
  <c r="G26" i="170"/>
  <c r="AD25" i="170"/>
  <c r="Z25" i="170"/>
  <c r="Y25" i="170"/>
  <c r="O25" i="170"/>
  <c r="K25" i="170"/>
  <c r="V24" i="170"/>
  <c r="U24" i="170"/>
  <c r="O24" i="170"/>
  <c r="M24" i="170"/>
  <c r="AF24" i="170" s="1"/>
  <c r="K24" i="170"/>
  <c r="G24" i="170"/>
  <c r="AF23" i="170"/>
  <c r="V23" i="170"/>
  <c r="U23" i="170"/>
  <c r="O23" i="170"/>
  <c r="M23" i="170"/>
  <c r="AE23" i="170" s="1"/>
  <c r="K23" i="170"/>
  <c r="G23" i="170"/>
  <c r="AE22" i="170"/>
  <c r="V22" i="170"/>
  <c r="U22" i="170"/>
  <c r="O22" i="170"/>
  <c r="N22" i="170"/>
  <c r="P22" i="170" s="1"/>
  <c r="M22" i="170"/>
  <c r="AF22" i="170" s="1"/>
  <c r="K22" i="170"/>
  <c r="Q22" i="170" s="1"/>
  <c r="G22" i="170"/>
  <c r="V21" i="170"/>
  <c r="M21" i="170" s="1"/>
  <c r="U21" i="170"/>
  <c r="O21" i="170"/>
  <c r="K21" i="170"/>
  <c r="G21" i="170"/>
  <c r="X20" i="170"/>
  <c r="W20" i="170"/>
  <c r="V20" i="170"/>
  <c r="M20" i="170" s="1"/>
  <c r="U20" i="170"/>
  <c r="O20" i="170"/>
  <c r="K20" i="170"/>
  <c r="G20" i="170"/>
  <c r="V19" i="170"/>
  <c r="M19" i="170" s="1"/>
  <c r="U19" i="170"/>
  <c r="O19" i="170"/>
  <c r="K19" i="170"/>
  <c r="G19" i="170"/>
  <c r="V18" i="170"/>
  <c r="M18" i="170" s="1"/>
  <c r="U18" i="170"/>
  <c r="O18" i="170"/>
  <c r="K18" i="170"/>
  <c r="G18" i="170"/>
  <c r="AF17" i="170"/>
  <c r="AE17" i="170"/>
  <c r="V17" i="170"/>
  <c r="U17" i="170"/>
  <c r="Q17" i="170"/>
  <c r="O17" i="170"/>
  <c r="N17" i="170"/>
  <c r="P17" i="170" s="1"/>
  <c r="M17" i="170"/>
  <c r="K17" i="170"/>
  <c r="G17" i="170"/>
  <c r="X16" i="170"/>
  <c r="W16" i="170"/>
  <c r="V16" i="170"/>
  <c r="M16" i="170" s="1"/>
  <c r="O16" i="170"/>
  <c r="K16" i="170"/>
  <c r="G16" i="170"/>
  <c r="AD15" i="170"/>
  <c r="Z15" i="170"/>
  <c r="Z2" i="170" s="1"/>
  <c r="L6" i="169" s="1"/>
  <c r="Y15" i="170"/>
  <c r="O15" i="170"/>
  <c r="K15" i="170"/>
  <c r="AF14" i="170"/>
  <c r="AE14" i="170"/>
  <c r="V14" i="170"/>
  <c r="U14" i="170"/>
  <c r="Q14" i="170"/>
  <c r="O14" i="170"/>
  <c r="N14" i="170"/>
  <c r="P14" i="170" s="1"/>
  <c r="M14" i="170"/>
  <c r="K14" i="170"/>
  <c r="G14" i="170"/>
  <c r="V13" i="170"/>
  <c r="M13" i="170" s="1"/>
  <c r="U13" i="170"/>
  <c r="O13" i="170"/>
  <c r="K13" i="170"/>
  <c r="G13" i="170"/>
  <c r="AF12" i="170"/>
  <c r="X12" i="170"/>
  <c r="W12" i="170"/>
  <c r="V12" i="170"/>
  <c r="U12" i="170"/>
  <c r="Q12" i="170"/>
  <c r="O12" i="170"/>
  <c r="N12" i="170"/>
  <c r="P12" i="170" s="1"/>
  <c r="M12" i="170"/>
  <c r="AE12" i="170" s="1"/>
  <c r="K12" i="170"/>
  <c r="G12" i="170"/>
  <c r="V11" i="170"/>
  <c r="M11" i="170" s="1"/>
  <c r="U11" i="170"/>
  <c r="O11" i="170"/>
  <c r="K11" i="170"/>
  <c r="G11" i="170"/>
  <c r="V10" i="170"/>
  <c r="M10" i="170" s="1"/>
  <c r="U10" i="170"/>
  <c r="O10" i="170"/>
  <c r="K10" i="170"/>
  <c r="G10" i="170"/>
  <c r="AF9" i="170"/>
  <c r="X9" i="170"/>
  <c r="W9" i="170"/>
  <c r="V9" i="170"/>
  <c r="Q9" i="170"/>
  <c r="O9" i="170"/>
  <c r="N9" i="170"/>
  <c r="P9" i="170" s="1"/>
  <c r="M9" i="170"/>
  <c r="K9" i="170"/>
  <c r="G9" i="170"/>
  <c r="F1" i="170" s="1"/>
  <c r="AD8" i="170"/>
  <c r="D21" i="169" s="1"/>
  <c r="Z8" i="170"/>
  <c r="Y8" i="170"/>
  <c r="O8" i="170"/>
  <c r="K8" i="170"/>
  <c r="V7" i="170"/>
  <c r="M7" i="170" s="1"/>
  <c r="U7" i="170"/>
  <c r="O7" i="170"/>
  <c r="K7" i="170"/>
  <c r="G7" i="170"/>
  <c r="X6" i="170"/>
  <c r="W6" i="170"/>
  <c r="V6" i="170"/>
  <c r="M6" i="170" s="1"/>
  <c r="U6" i="170"/>
  <c r="O6" i="170"/>
  <c r="K6" i="170"/>
  <c r="G6" i="170"/>
  <c r="V5" i="170"/>
  <c r="M5" i="170" s="1"/>
  <c r="O5" i="170"/>
  <c r="K5" i="170"/>
  <c r="G5" i="170"/>
  <c r="AC2" i="170"/>
  <c r="Y2" i="170"/>
  <c r="K6" i="169" s="1"/>
  <c r="H2" i="170"/>
  <c r="H1" i="170"/>
  <c r="D1" i="170"/>
  <c r="M22" i="169"/>
  <c r="L22" i="169"/>
  <c r="K22" i="169"/>
  <c r="J22" i="169"/>
  <c r="I22" i="169"/>
  <c r="H22" i="169"/>
  <c r="G22" i="169"/>
  <c r="F22" i="169"/>
  <c r="E22" i="169"/>
  <c r="D22" i="169"/>
  <c r="M21" i="169"/>
  <c r="L21" i="169"/>
  <c r="K21" i="169"/>
  <c r="J21" i="169"/>
  <c r="I21" i="169"/>
  <c r="F21" i="169"/>
  <c r="E21" i="169"/>
  <c r="M20" i="169"/>
  <c r="L20" i="169"/>
  <c r="K20" i="169"/>
  <c r="J20" i="169"/>
  <c r="I20" i="169"/>
  <c r="H20" i="169"/>
  <c r="G20" i="169"/>
  <c r="F20" i="169"/>
  <c r="E20" i="169"/>
  <c r="D20" i="169"/>
  <c r="M19" i="169"/>
  <c r="L19" i="169"/>
  <c r="K19" i="169"/>
  <c r="J19" i="169"/>
  <c r="I19" i="169"/>
  <c r="H19" i="169"/>
  <c r="G19" i="169"/>
  <c r="F19" i="169"/>
  <c r="E19" i="169"/>
  <c r="D19" i="169"/>
  <c r="M18" i="169"/>
  <c r="L18" i="169"/>
  <c r="K18" i="169"/>
  <c r="J18" i="169"/>
  <c r="I18" i="169"/>
  <c r="H18" i="169"/>
  <c r="G18" i="169"/>
  <c r="F18" i="169"/>
  <c r="E18" i="169"/>
  <c r="D18" i="169"/>
  <c r="M17" i="169"/>
  <c r="L17" i="169"/>
  <c r="K17" i="169"/>
  <c r="J17" i="169"/>
  <c r="I17" i="169"/>
  <c r="H17" i="169"/>
  <c r="G17" i="169"/>
  <c r="F17" i="169"/>
  <c r="E17" i="169"/>
  <c r="D17" i="169"/>
  <c r="M16" i="169"/>
  <c r="L16" i="169"/>
  <c r="K16" i="169"/>
  <c r="J16" i="169"/>
  <c r="I16" i="169"/>
  <c r="H16" i="169"/>
  <c r="G16" i="169"/>
  <c r="F16" i="169"/>
  <c r="E16" i="169"/>
  <c r="D16" i="169"/>
  <c r="M13" i="169"/>
  <c r="L13" i="169"/>
  <c r="K13" i="169"/>
  <c r="I6" i="169" s="1"/>
  <c r="J13" i="169"/>
  <c r="I13" i="169"/>
  <c r="H13" i="169"/>
  <c r="G6" i="169" s="1"/>
  <c r="G13" i="169"/>
  <c r="F13" i="169"/>
  <c r="E13" i="169"/>
  <c r="D13" i="169"/>
  <c r="M6" i="169"/>
  <c r="F3" i="169"/>
  <c r="C3" i="169"/>
  <c r="D15" i="175" l="1"/>
  <c r="G7" i="175"/>
  <c r="F7" i="175"/>
  <c r="E7" i="175"/>
  <c r="I7" i="175"/>
  <c r="K15" i="175"/>
  <c r="I8" i="175" s="1"/>
  <c r="P68" i="174"/>
  <c r="J14" i="173"/>
  <c r="J15" i="173" s="1"/>
  <c r="Q68" i="174"/>
  <c r="R64" i="174" s="1"/>
  <c r="Q14" i="174"/>
  <c r="R8" i="174" s="1"/>
  <c r="P14" i="174"/>
  <c r="E14" i="173"/>
  <c r="E15" i="173" s="1"/>
  <c r="H14" i="173"/>
  <c r="H15" i="173" s="1"/>
  <c r="Q53" i="174"/>
  <c r="R49" i="174" s="1"/>
  <c r="P53" i="174"/>
  <c r="D2" i="174"/>
  <c r="Q7" i="174"/>
  <c r="R5" i="174" s="1"/>
  <c r="P7" i="174"/>
  <c r="D14" i="173"/>
  <c r="P22" i="174"/>
  <c r="Q22" i="174"/>
  <c r="R15" i="174" s="1"/>
  <c r="F14" i="173"/>
  <c r="F15" i="173" s="1"/>
  <c r="M14" i="173"/>
  <c r="M15" i="173" s="1"/>
  <c r="Q77" i="174"/>
  <c r="R69" i="174" s="1"/>
  <c r="P77" i="174"/>
  <c r="K14" i="173"/>
  <c r="Q39" i="174"/>
  <c r="R31" i="174" s="1"/>
  <c r="P39" i="174"/>
  <c r="Q63" i="174"/>
  <c r="R54" i="174" s="1"/>
  <c r="I14" i="173"/>
  <c r="I15" i="173" s="1"/>
  <c r="P63" i="174"/>
  <c r="P30" i="174"/>
  <c r="Q30" i="174"/>
  <c r="R23" i="174" s="1"/>
  <c r="G14" i="173"/>
  <c r="G15" i="173" s="1"/>
  <c r="Q46" i="172"/>
  <c r="P46" i="172"/>
  <c r="K14" i="171"/>
  <c r="Q7" i="172"/>
  <c r="P7" i="172"/>
  <c r="Q39" i="172"/>
  <c r="P39" i="172"/>
  <c r="Q61" i="172"/>
  <c r="P61" i="172"/>
  <c r="Q45" i="172"/>
  <c r="P45" i="172"/>
  <c r="Q69" i="172"/>
  <c r="P69" i="172"/>
  <c r="Q52" i="172"/>
  <c r="P52" i="172"/>
  <c r="P44" i="172"/>
  <c r="Q44" i="172"/>
  <c r="P67" i="172"/>
  <c r="Q67" i="172"/>
  <c r="Q26" i="172"/>
  <c r="P26" i="172"/>
  <c r="Q18" i="172"/>
  <c r="P18" i="172"/>
  <c r="Q34" i="172"/>
  <c r="P34" i="172"/>
  <c r="P17" i="172"/>
  <c r="Q17" i="172"/>
  <c r="Q62" i="172"/>
  <c r="P62" i="172"/>
  <c r="P8" i="172"/>
  <c r="D14" i="171"/>
  <c r="Q53" i="172"/>
  <c r="P53" i="172"/>
  <c r="Q68" i="172"/>
  <c r="P68" i="172"/>
  <c r="P60" i="172"/>
  <c r="Q60" i="172"/>
  <c r="Q19" i="172"/>
  <c r="P19" i="172"/>
  <c r="P12" i="172"/>
  <c r="Q12" i="172"/>
  <c r="P41" i="172"/>
  <c r="P65" i="172"/>
  <c r="P74" i="172"/>
  <c r="Q74" i="172"/>
  <c r="P32" i="172"/>
  <c r="Q32" i="172"/>
  <c r="Q5" i="172"/>
  <c r="P5" i="172"/>
  <c r="Q64" i="172"/>
  <c r="P64" i="172"/>
  <c r="Q48" i="172"/>
  <c r="P48" i="172"/>
  <c r="Q72" i="172"/>
  <c r="P72" i="172"/>
  <c r="Q66" i="172"/>
  <c r="P66" i="172"/>
  <c r="AF70" i="172"/>
  <c r="AG66" i="172" s="1"/>
  <c r="AE70" i="172"/>
  <c r="N70" i="172"/>
  <c r="Q58" i="172"/>
  <c r="P58" i="172"/>
  <c r="Q51" i="172"/>
  <c r="P51" i="172"/>
  <c r="AF55" i="172"/>
  <c r="AG51" i="172" s="1"/>
  <c r="AE55" i="172"/>
  <c r="Q38" i="172"/>
  <c r="P38" i="172"/>
  <c r="Q37" i="172"/>
  <c r="P37" i="172"/>
  <c r="AF41" i="172"/>
  <c r="AG34" i="172" s="1"/>
  <c r="AE41" i="172"/>
  <c r="P29" i="172"/>
  <c r="Q29" i="172"/>
  <c r="AF33" i="172"/>
  <c r="AG26" i="172" s="1"/>
  <c r="AE33" i="172"/>
  <c r="N33" i="172"/>
  <c r="Q33" i="172" s="1"/>
  <c r="R26" i="172" s="1"/>
  <c r="Q23" i="172"/>
  <c r="P23" i="172"/>
  <c r="N25" i="172"/>
  <c r="D2" i="172" s="1"/>
  <c r="AE25" i="172"/>
  <c r="AF25" i="172"/>
  <c r="AG16" i="172" s="1"/>
  <c r="Q11" i="172"/>
  <c r="P11" i="172"/>
  <c r="Q6" i="172"/>
  <c r="P6" i="172"/>
  <c r="Q8" i="172"/>
  <c r="R5" i="172" s="1"/>
  <c r="N13" i="170"/>
  <c r="AF13" i="170"/>
  <c r="AE13" i="170"/>
  <c r="AE18" i="170"/>
  <c r="N18" i="170"/>
  <c r="AF18" i="170"/>
  <c r="N35" i="170"/>
  <c r="AF35" i="170"/>
  <c r="AE35" i="170"/>
  <c r="F2" i="170"/>
  <c r="I3" i="169"/>
  <c r="P28" i="170"/>
  <c r="Q28" i="170"/>
  <c r="AF43" i="170"/>
  <c r="AE43" i="170"/>
  <c r="M51" i="170"/>
  <c r="N43" i="170"/>
  <c r="AF45" i="170"/>
  <c r="AE45" i="170"/>
  <c r="N45" i="170"/>
  <c r="P67" i="170"/>
  <c r="Q67" i="170"/>
  <c r="N71" i="170"/>
  <c r="AF71" i="170"/>
  <c r="AE71" i="170"/>
  <c r="N75" i="170"/>
  <c r="AF75" i="170"/>
  <c r="AE75" i="170"/>
  <c r="N73" i="170"/>
  <c r="AF73" i="170"/>
  <c r="AE73" i="170"/>
  <c r="P52" i="170"/>
  <c r="Q52" i="170"/>
  <c r="M15" i="170"/>
  <c r="N10" i="170"/>
  <c r="AF10" i="170"/>
  <c r="AE10" i="170"/>
  <c r="Q26" i="170"/>
  <c r="P26" i="170"/>
  <c r="N6" i="170"/>
  <c r="AF6" i="170"/>
  <c r="AE6" i="170"/>
  <c r="Q74" i="170"/>
  <c r="P74" i="170"/>
  <c r="AF41" i="170"/>
  <c r="AE41" i="170"/>
  <c r="N41" i="170"/>
  <c r="N65" i="170"/>
  <c r="M69" i="170"/>
  <c r="AF65" i="170"/>
  <c r="AE65" i="170"/>
  <c r="Q76" i="170"/>
  <c r="P76" i="170"/>
  <c r="N72" i="170"/>
  <c r="AF72" i="170"/>
  <c r="AE72" i="170"/>
  <c r="N11" i="170"/>
  <c r="AF11" i="170"/>
  <c r="AE11" i="170"/>
  <c r="AE20" i="170"/>
  <c r="AF20" i="170"/>
  <c r="N20" i="170"/>
  <c r="N31" i="170"/>
  <c r="AF31" i="170"/>
  <c r="AE31" i="170"/>
  <c r="AE40" i="170"/>
  <c r="N40" i="170"/>
  <c r="AF40" i="170"/>
  <c r="AF60" i="170"/>
  <c r="AE60" i="170"/>
  <c r="N60" i="170"/>
  <c r="AF19" i="170"/>
  <c r="AE19" i="170"/>
  <c r="N19" i="170"/>
  <c r="AF21" i="170"/>
  <c r="AE21" i="170"/>
  <c r="N21" i="170"/>
  <c r="Q27" i="170"/>
  <c r="P27" i="170"/>
  <c r="N30" i="170"/>
  <c r="AF30" i="170"/>
  <c r="AE30" i="170"/>
  <c r="N32" i="170"/>
  <c r="AF32" i="170"/>
  <c r="AE32" i="170"/>
  <c r="N36" i="170"/>
  <c r="AF36" i="170"/>
  <c r="AE36" i="170"/>
  <c r="AF46" i="170"/>
  <c r="AE46" i="170"/>
  <c r="N46" i="170"/>
  <c r="AF50" i="170"/>
  <c r="AE50" i="170"/>
  <c r="N50" i="170"/>
  <c r="N70" i="170"/>
  <c r="AF70" i="170"/>
  <c r="AE70" i="170"/>
  <c r="M78" i="170"/>
  <c r="N5" i="170"/>
  <c r="M8" i="170"/>
  <c r="AF5" i="170"/>
  <c r="AE5" i="170"/>
  <c r="N7" i="170"/>
  <c r="AF7" i="170"/>
  <c r="AE7" i="170"/>
  <c r="M25" i="170"/>
  <c r="N16" i="170"/>
  <c r="AE16" i="170"/>
  <c r="AF16" i="170"/>
  <c r="N38" i="170"/>
  <c r="AF38" i="170"/>
  <c r="AE38" i="170"/>
  <c r="AF48" i="170"/>
  <c r="AE48" i="170"/>
  <c r="N48" i="170"/>
  <c r="P53" i="170"/>
  <c r="Q53" i="170"/>
  <c r="AF44" i="170"/>
  <c r="AE44" i="170"/>
  <c r="N44" i="170"/>
  <c r="M64" i="170"/>
  <c r="Q55" i="170"/>
  <c r="P55" i="170"/>
  <c r="N68" i="170"/>
  <c r="AF68" i="170"/>
  <c r="AE68" i="170"/>
  <c r="N66" i="170"/>
  <c r="AF66" i="170"/>
  <c r="AE66" i="170"/>
  <c r="N24" i="170"/>
  <c r="M42" i="170"/>
  <c r="N47" i="170"/>
  <c r="N49" i="170"/>
  <c r="AF57" i="170"/>
  <c r="N63" i="170"/>
  <c r="AE9" i="170"/>
  <c r="N23" i="170"/>
  <c r="AE34" i="170"/>
  <c r="AE55" i="170"/>
  <c r="AD2" i="170"/>
  <c r="N6" i="169" s="1"/>
  <c r="AE29" i="170"/>
  <c r="AE54" i="170"/>
  <c r="AF55" i="170"/>
  <c r="N61" i="170"/>
  <c r="AE28" i="170"/>
  <c r="AE52" i="170"/>
  <c r="AE53" i="170"/>
  <c r="AE67" i="170"/>
  <c r="E6" i="169"/>
  <c r="F6" i="169"/>
  <c r="AF28" i="170"/>
  <c r="M33" i="170"/>
  <c r="AF52" i="170"/>
  <c r="AF53" i="170"/>
  <c r="M56" i="170"/>
  <c r="AF67" i="170"/>
  <c r="N77" i="170"/>
  <c r="AE24" i="170"/>
  <c r="AE49" i="170"/>
  <c r="P59" i="170"/>
  <c r="AE63" i="170"/>
  <c r="AE47" i="170"/>
  <c r="AD68" i="168"/>
  <c r="Z68" i="168"/>
  <c r="Y68" i="168"/>
  <c r="O68" i="168"/>
  <c r="K68" i="168"/>
  <c r="M13" i="167" s="1"/>
  <c r="V67" i="168"/>
  <c r="M67" i="168" s="1"/>
  <c r="U67" i="168"/>
  <c r="O67" i="168"/>
  <c r="K67" i="168"/>
  <c r="G67" i="168"/>
  <c r="X66" i="168"/>
  <c r="W66" i="168"/>
  <c r="V66" i="168"/>
  <c r="M66" i="168" s="1"/>
  <c r="U66" i="168"/>
  <c r="O66" i="168"/>
  <c r="K66" i="168"/>
  <c r="G66" i="168"/>
  <c r="V65" i="168"/>
  <c r="M65" i="168" s="1"/>
  <c r="U65" i="168"/>
  <c r="O65" i="168"/>
  <c r="K65" i="168"/>
  <c r="G65" i="168"/>
  <c r="V64" i="168"/>
  <c r="M64" i="168" s="1"/>
  <c r="U64" i="168"/>
  <c r="O64" i="168"/>
  <c r="K64" i="168"/>
  <c r="G64" i="168"/>
  <c r="AE63" i="168"/>
  <c r="V63" i="168"/>
  <c r="U63" i="168"/>
  <c r="O63" i="168"/>
  <c r="N63" i="168"/>
  <c r="Q63" i="168" s="1"/>
  <c r="M63" i="168"/>
  <c r="AF63" i="168" s="1"/>
  <c r="K63" i="168"/>
  <c r="G63" i="168"/>
  <c r="X62" i="168"/>
  <c r="W62" i="168"/>
  <c r="V62" i="168"/>
  <c r="M62" i="168" s="1"/>
  <c r="O62" i="168"/>
  <c r="K62" i="168"/>
  <c r="G62" i="168"/>
  <c r="AD61" i="168"/>
  <c r="Z61" i="168"/>
  <c r="Y61" i="168"/>
  <c r="O61" i="168"/>
  <c r="K61" i="168"/>
  <c r="AE60" i="168"/>
  <c r="V60" i="168"/>
  <c r="U60" i="168"/>
  <c r="Q60" i="168"/>
  <c r="O60" i="168"/>
  <c r="N60" i="168"/>
  <c r="P60" i="168" s="1"/>
  <c r="M60" i="168"/>
  <c r="AF60" i="168" s="1"/>
  <c r="K60" i="168"/>
  <c r="G60" i="168"/>
  <c r="V59" i="168"/>
  <c r="M59" i="168" s="1"/>
  <c r="U59" i="168"/>
  <c r="O59" i="168"/>
  <c r="K59" i="168"/>
  <c r="G59" i="168"/>
  <c r="V58" i="168"/>
  <c r="M58" i="168" s="1"/>
  <c r="U58" i="168"/>
  <c r="O58" i="168"/>
  <c r="K58" i="168"/>
  <c r="G58" i="168"/>
  <c r="V57" i="168"/>
  <c r="M57" i="168" s="1"/>
  <c r="O57" i="168"/>
  <c r="K57" i="168"/>
  <c r="G57" i="168"/>
  <c r="AD56" i="168"/>
  <c r="Z56" i="168"/>
  <c r="Y56" i="168"/>
  <c r="Y2" i="168" s="1"/>
  <c r="K6" i="167" s="1"/>
  <c r="O56" i="168"/>
  <c r="K56" i="168"/>
  <c r="V55" i="168"/>
  <c r="U55" i="168"/>
  <c r="O55" i="168"/>
  <c r="M55" i="168"/>
  <c r="N55" i="168" s="1"/>
  <c r="K55" i="168"/>
  <c r="G55" i="168"/>
  <c r="V54" i="168"/>
  <c r="U54" i="168"/>
  <c r="O54" i="168"/>
  <c r="M54" i="168"/>
  <c r="AF54" i="168" s="1"/>
  <c r="K54" i="168"/>
  <c r="G54" i="168"/>
  <c r="V53" i="168"/>
  <c r="M53" i="168" s="1"/>
  <c r="U53" i="168"/>
  <c r="O53" i="168"/>
  <c r="K53" i="168"/>
  <c r="G53" i="168"/>
  <c r="V52" i="168"/>
  <c r="U52" i="168"/>
  <c r="O52" i="168"/>
  <c r="M52" i="168"/>
  <c r="AF52" i="168" s="1"/>
  <c r="K52" i="168"/>
  <c r="G52" i="168"/>
  <c r="AF51" i="168"/>
  <c r="AE51" i="168"/>
  <c r="V51" i="168"/>
  <c r="U51" i="168"/>
  <c r="O51" i="168"/>
  <c r="N51" i="168"/>
  <c r="M51" i="168"/>
  <c r="K51" i="168"/>
  <c r="Q51" i="168" s="1"/>
  <c r="G51" i="168"/>
  <c r="V50" i="168"/>
  <c r="M50" i="168" s="1"/>
  <c r="U50" i="168"/>
  <c r="O50" i="168"/>
  <c r="K50" i="168"/>
  <c r="G50" i="168"/>
  <c r="V49" i="168"/>
  <c r="M49" i="168" s="1"/>
  <c r="O49" i="168"/>
  <c r="K49" i="168"/>
  <c r="G49" i="168"/>
  <c r="AD48" i="168"/>
  <c r="Z48" i="168"/>
  <c r="Y48" i="168"/>
  <c r="O48" i="168"/>
  <c r="K48" i="168"/>
  <c r="AF47" i="168"/>
  <c r="V47" i="168"/>
  <c r="U47" i="168"/>
  <c r="O47" i="168"/>
  <c r="M47" i="168"/>
  <c r="N47" i="168" s="1"/>
  <c r="K47" i="168"/>
  <c r="G47" i="168"/>
  <c r="AE46" i="168"/>
  <c r="V46" i="168"/>
  <c r="U46" i="168"/>
  <c r="O46" i="168"/>
  <c r="N46" i="168"/>
  <c r="Q46" i="168" s="1"/>
  <c r="M46" i="168"/>
  <c r="AF46" i="168" s="1"/>
  <c r="K46" i="168"/>
  <c r="G46" i="168"/>
  <c r="V45" i="168"/>
  <c r="M45" i="168" s="1"/>
  <c r="U45" i="168"/>
  <c r="O45" i="168"/>
  <c r="K45" i="168"/>
  <c r="G45" i="168"/>
  <c r="V44" i="168"/>
  <c r="M44" i="168" s="1"/>
  <c r="O44" i="168"/>
  <c r="K44" i="168"/>
  <c r="G44" i="168"/>
  <c r="AD43" i="168"/>
  <c r="Z43" i="168"/>
  <c r="Z2" i="168" s="1"/>
  <c r="L6" i="167" s="1"/>
  <c r="Y43" i="168"/>
  <c r="O43" i="168"/>
  <c r="K43" i="168"/>
  <c r="AF42" i="168"/>
  <c r="V42" i="168"/>
  <c r="U42" i="168"/>
  <c r="O42" i="168"/>
  <c r="M42" i="168"/>
  <c r="N42" i="168" s="1"/>
  <c r="K42" i="168"/>
  <c r="G42" i="168"/>
  <c r="AF41" i="168"/>
  <c r="AE41" i="168"/>
  <c r="X41" i="168"/>
  <c r="W41" i="168"/>
  <c r="V41" i="168"/>
  <c r="U41" i="168"/>
  <c r="O41" i="168"/>
  <c r="N41" i="168"/>
  <c r="P41" i="168" s="1"/>
  <c r="M41" i="168"/>
  <c r="K41" i="168"/>
  <c r="G41" i="168"/>
  <c r="AF40" i="168"/>
  <c r="V40" i="168"/>
  <c r="U40" i="168"/>
  <c r="O40" i="168"/>
  <c r="M40" i="168"/>
  <c r="N40" i="168" s="1"/>
  <c r="K40" i="168"/>
  <c r="G40" i="168"/>
  <c r="AF39" i="168"/>
  <c r="AE39" i="168"/>
  <c r="V39" i="168"/>
  <c r="U39" i="168"/>
  <c r="O39" i="168"/>
  <c r="M39" i="168"/>
  <c r="N39" i="168" s="1"/>
  <c r="K39" i="168"/>
  <c r="G39" i="168"/>
  <c r="V38" i="168"/>
  <c r="M38" i="168" s="1"/>
  <c r="U38" i="168"/>
  <c r="O38" i="168"/>
  <c r="K38" i="168"/>
  <c r="G38" i="168"/>
  <c r="AF37" i="168"/>
  <c r="AE37" i="168"/>
  <c r="X37" i="168"/>
  <c r="W37" i="168"/>
  <c r="V37" i="168"/>
  <c r="O37" i="168"/>
  <c r="M37" i="168"/>
  <c r="N37" i="168" s="1"/>
  <c r="K37" i="168"/>
  <c r="G37" i="168"/>
  <c r="AD36" i="168"/>
  <c r="Z36" i="168"/>
  <c r="Y36" i="168"/>
  <c r="O36" i="168"/>
  <c r="K36" i="168"/>
  <c r="V35" i="168"/>
  <c r="M35" i="168" s="1"/>
  <c r="U35" i="168"/>
  <c r="O35" i="168"/>
  <c r="K35" i="168"/>
  <c r="G35" i="168"/>
  <c r="AE34" i="168"/>
  <c r="X34" i="168"/>
  <c r="W34" i="168"/>
  <c r="V34" i="168"/>
  <c r="U34" i="168"/>
  <c r="O34" i="168"/>
  <c r="M34" i="168"/>
  <c r="N34" i="168" s="1"/>
  <c r="K34" i="168"/>
  <c r="G34" i="168"/>
  <c r="V33" i="168"/>
  <c r="M33" i="168" s="1"/>
  <c r="U33" i="168"/>
  <c r="O33" i="168"/>
  <c r="K33" i="168"/>
  <c r="G33" i="168"/>
  <c r="V32" i="168"/>
  <c r="M32" i="168" s="1"/>
  <c r="U32" i="168"/>
  <c r="O32" i="168"/>
  <c r="K32" i="168"/>
  <c r="G32" i="168"/>
  <c r="V31" i="168"/>
  <c r="U31" i="168"/>
  <c r="O31" i="168"/>
  <c r="M31" i="168"/>
  <c r="AF31" i="168" s="1"/>
  <c r="K31" i="168"/>
  <c r="G31" i="168"/>
  <c r="X30" i="168"/>
  <c r="W30" i="168"/>
  <c r="V30" i="168"/>
  <c r="M30" i="168" s="1"/>
  <c r="O30" i="168"/>
  <c r="K30" i="168"/>
  <c r="G30" i="168"/>
  <c r="AD29" i="168"/>
  <c r="Z29" i="168"/>
  <c r="Y29" i="168"/>
  <c r="O29" i="168"/>
  <c r="K29" i="168"/>
  <c r="V28" i="168"/>
  <c r="U28" i="168"/>
  <c r="O28" i="168"/>
  <c r="M28" i="168"/>
  <c r="AF28" i="168" s="1"/>
  <c r="K28" i="168"/>
  <c r="G28" i="168"/>
  <c r="V27" i="168"/>
  <c r="M27" i="168" s="1"/>
  <c r="U27" i="168"/>
  <c r="O27" i="168"/>
  <c r="K27" i="168"/>
  <c r="G27" i="168"/>
  <c r="V26" i="168"/>
  <c r="M26" i="168" s="1"/>
  <c r="U26" i="168"/>
  <c r="O26" i="168"/>
  <c r="K26" i="168"/>
  <c r="G26" i="168"/>
  <c r="V25" i="168"/>
  <c r="M25" i="168" s="1"/>
  <c r="U25" i="168"/>
  <c r="O25" i="168"/>
  <c r="K25" i="168"/>
  <c r="G25" i="168"/>
  <c r="V24" i="168"/>
  <c r="M24" i="168" s="1"/>
  <c r="O24" i="168"/>
  <c r="K24" i="168"/>
  <c r="G24" i="168"/>
  <c r="AD23" i="168"/>
  <c r="Z23" i="168"/>
  <c r="Y23" i="168"/>
  <c r="O23" i="168"/>
  <c r="K23" i="168"/>
  <c r="AE22" i="168"/>
  <c r="V22" i="168"/>
  <c r="U22" i="168"/>
  <c r="O22" i="168"/>
  <c r="N22" i="168"/>
  <c r="Q22" i="168" s="1"/>
  <c r="M22" i="168"/>
  <c r="AF22" i="168" s="1"/>
  <c r="K22" i="168"/>
  <c r="G22" i="168"/>
  <c r="V21" i="168"/>
  <c r="M21" i="168" s="1"/>
  <c r="U21" i="168"/>
  <c r="O21" i="168"/>
  <c r="K21" i="168"/>
  <c r="G21" i="168"/>
  <c r="AF20" i="168"/>
  <c r="V20" i="168"/>
  <c r="U20" i="168"/>
  <c r="O20" i="168"/>
  <c r="N20" i="168"/>
  <c r="Q20" i="168" s="1"/>
  <c r="M20" i="168"/>
  <c r="AE20" i="168" s="1"/>
  <c r="K20" i="168"/>
  <c r="P20" i="168" s="1"/>
  <c r="G20" i="168"/>
  <c r="AF19" i="168"/>
  <c r="V19" i="168"/>
  <c r="U19" i="168"/>
  <c r="O19" i="168"/>
  <c r="M19" i="168"/>
  <c r="N19" i="168" s="1"/>
  <c r="K19" i="168"/>
  <c r="G19" i="168"/>
  <c r="X18" i="168"/>
  <c r="W18" i="168"/>
  <c r="V18" i="168"/>
  <c r="M18" i="168" s="1"/>
  <c r="U18" i="168"/>
  <c r="O18" i="168"/>
  <c r="K18" i="168"/>
  <c r="G18" i="168"/>
  <c r="AF17" i="168"/>
  <c r="V17" i="168"/>
  <c r="U17" i="168"/>
  <c r="O17" i="168"/>
  <c r="M17" i="168"/>
  <c r="N17" i="168" s="1"/>
  <c r="K17" i="168"/>
  <c r="G17" i="168"/>
  <c r="AF16" i="168"/>
  <c r="AE16" i="168"/>
  <c r="V16" i="168"/>
  <c r="U16" i="168"/>
  <c r="P16" i="168"/>
  <c r="O16" i="168"/>
  <c r="N16" i="168"/>
  <c r="Q16" i="168" s="1"/>
  <c r="M16" i="168"/>
  <c r="K16" i="168"/>
  <c r="G16" i="168"/>
  <c r="AF15" i="168"/>
  <c r="V15" i="168"/>
  <c r="U15" i="168"/>
  <c r="O15" i="168"/>
  <c r="M15" i="168"/>
  <c r="AE15" i="168" s="1"/>
  <c r="K15" i="168"/>
  <c r="G15" i="168"/>
  <c r="AF14" i="168"/>
  <c r="AE14" i="168"/>
  <c r="X14" i="168"/>
  <c r="W14" i="168"/>
  <c r="V14" i="168"/>
  <c r="O14" i="168"/>
  <c r="M14" i="168"/>
  <c r="N14" i="168" s="1"/>
  <c r="K14" i="168"/>
  <c r="G14" i="168"/>
  <c r="AD13" i="168"/>
  <c r="Z13" i="168"/>
  <c r="Y13" i="168"/>
  <c r="O13" i="168"/>
  <c r="K13" i="168"/>
  <c r="AF12" i="168"/>
  <c r="V12" i="168"/>
  <c r="U12" i="168"/>
  <c r="O12" i="168"/>
  <c r="M12" i="168"/>
  <c r="AE12" i="168" s="1"/>
  <c r="K12" i="168"/>
  <c r="G12" i="168"/>
  <c r="AE11" i="168"/>
  <c r="X11" i="168"/>
  <c r="W11" i="168"/>
  <c r="V11" i="168"/>
  <c r="U11" i="168"/>
  <c r="P11" i="168"/>
  <c r="O11" i="168"/>
  <c r="N11" i="168"/>
  <c r="Q11" i="168" s="1"/>
  <c r="M11" i="168"/>
  <c r="AF11" i="168" s="1"/>
  <c r="K11" i="168"/>
  <c r="G11" i="168"/>
  <c r="AF10" i="168"/>
  <c r="V10" i="168"/>
  <c r="U10" i="168"/>
  <c r="O10" i="168"/>
  <c r="M10" i="168"/>
  <c r="AE10" i="168" s="1"/>
  <c r="K10" i="168"/>
  <c r="G10" i="168"/>
  <c r="V9" i="168"/>
  <c r="M9" i="168" s="1"/>
  <c r="U9" i="168"/>
  <c r="O9" i="168"/>
  <c r="K9" i="168"/>
  <c r="G9" i="168"/>
  <c r="AE8" i="168"/>
  <c r="X8" i="168"/>
  <c r="W8" i="168"/>
  <c r="V8" i="168"/>
  <c r="P8" i="168"/>
  <c r="O8" i="168"/>
  <c r="N8" i="168"/>
  <c r="Q8" i="168" s="1"/>
  <c r="M8" i="168"/>
  <c r="AF8" i="168" s="1"/>
  <c r="K8" i="168"/>
  <c r="G8" i="168"/>
  <c r="AD7" i="168"/>
  <c r="AD2" i="168" s="1"/>
  <c r="N6" i="167" s="1"/>
  <c r="Z7" i="168"/>
  <c r="Y7" i="168"/>
  <c r="O7" i="168"/>
  <c r="K7" i="168"/>
  <c r="V6" i="168"/>
  <c r="M6" i="168" s="1"/>
  <c r="U6" i="168"/>
  <c r="O6" i="168"/>
  <c r="K6" i="168"/>
  <c r="G6" i="168"/>
  <c r="V5" i="168"/>
  <c r="M5" i="168" s="1"/>
  <c r="O5" i="168"/>
  <c r="K5" i="168"/>
  <c r="G5" i="168"/>
  <c r="AC2" i="168"/>
  <c r="H2" i="168"/>
  <c r="H1" i="168"/>
  <c r="F1" i="168"/>
  <c r="I3" i="167" s="1"/>
  <c r="D1" i="168"/>
  <c r="M22" i="167"/>
  <c r="L22" i="167"/>
  <c r="K22" i="167"/>
  <c r="J22" i="167"/>
  <c r="I22" i="167"/>
  <c r="H22" i="167"/>
  <c r="G22" i="167"/>
  <c r="F22" i="167"/>
  <c r="E22" i="167"/>
  <c r="D22" i="167"/>
  <c r="M21" i="167"/>
  <c r="L21" i="167"/>
  <c r="K21" i="167"/>
  <c r="J21" i="167"/>
  <c r="I21" i="167"/>
  <c r="H21" i="167"/>
  <c r="G21" i="167"/>
  <c r="F21" i="167"/>
  <c r="E21" i="167"/>
  <c r="D21" i="167"/>
  <c r="M20" i="167"/>
  <c r="L20" i="167"/>
  <c r="K20" i="167"/>
  <c r="J20" i="167"/>
  <c r="I20" i="167"/>
  <c r="H20" i="167"/>
  <c r="G20" i="167"/>
  <c r="F20" i="167"/>
  <c r="E20" i="167"/>
  <c r="D20" i="167"/>
  <c r="M19" i="167"/>
  <c r="K19" i="167"/>
  <c r="J19" i="167"/>
  <c r="I19" i="167"/>
  <c r="H19" i="167"/>
  <c r="G19" i="167"/>
  <c r="F19" i="167"/>
  <c r="E19" i="167"/>
  <c r="D19" i="167"/>
  <c r="M18" i="167"/>
  <c r="L18" i="167"/>
  <c r="K18" i="167"/>
  <c r="J18" i="167"/>
  <c r="H18" i="167"/>
  <c r="G18" i="167"/>
  <c r="F18" i="167"/>
  <c r="E18" i="167"/>
  <c r="D18" i="167"/>
  <c r="M17" i="167"/>
  <c r="L17" i="167"/>
  <c r="K17" i="167"/>
  <c r="J17" i="167"/>
  <c r="I17" i="167"/>
  <c r="H17" i="167"/>
  <c r="G17" i="167"/>
  <c r="F17" i="167"/>
  <c r="E17" i="167"/>
  <c r="D17" i="167"/>
  <c r="M16" i="167"/>
  <c r="L16" i="167"/>
  <c r="K16" i="167"/>
  <c r="J16" i="167"/>
  <c r="I16" i="167"/>
  <c r="H16" i="167"/>
  <c r="G16" i="167"/>
  <c r="F16" i="167"/>
  <c r="E16" i="167"/>
  <c r="D16" i="167"/>
  <c r="L13" i="167"/>
  <c r="K13" i="167"/>
  <c r="J13" i="167"/>
  <c r="I13" i="167"/>
  <c r="H13" i="167"/>
  <c r="G13" i="167"/>
  <c r="F13" i="167"/>
  <c r="E13" i="167"/>
  <c r="D13" i="167"/>
  <c r="M6" i="167"/>
  <c r="F3" i="167"/>
  <c r="C3" i="167"/>
  <c r="G8" i="175" l="1"/>
  <c r="F8" i="175"/>
  <c r="E8" i="175"/>
  <c r="D15" i="173"/>
  <c r="G7" i="173"/>
  <c r="F7" i="173"/>
  <c r="E7" i="173"/>
  <c r="I7" i="173"/>
  <c r="K15" i="173"/>
  <c r="I8" i="173" s="1"/>
  <c r="J14" i="171"/>
  <c r="J15" i="171" s="1"/>
  <c r="P70" i="172"/>
  <c r="Q70" i="172"/>
  <c r="R66" i="172" s="1"/>
  <c r="D15" i="171"/>
  <c r="I7" i="171"/>
  <c r="K15" i="171"/>
  <c r="I8" i="171" s="1"/>
  <c r="Q25" i="172"/>
  <c r="R16" i="172" s="1"/>
  <c r="P25" i="172"/>
  <c r="F14" i="171"/>
  <c r="F15" i="171" s="1"/>
  <c r="P33" i="172"/>
  <c r="G14" i="171"/>
  <c r="G15" i="171" s="1"/>
  <c r="Q61" i="170"/>
  <c r="P61" i="170"/>
  <c r="Q47" i="170"/>
  <c r="P47" i="170"/>
  <c r="Q44" i="170"/>
  <c r="P44" i="170"/>
  <c r="Q65" i="170"/>
  <c r="P65" i="170"/>
  <c r="Q24" i="170"/>
  <c r="P24" i="170"/>
  <c r="N25" i="170"/>
  <c r="AF25" i="170"/>
  <c r="AG16" i="170" s="1"/>
  <c r="AE25" i="170"/>
  <c r="Q50" i="170"/>
  <c r="P50" i="170"/>
  <c r="AE15" i="170"/>
  <c r="N15" i="170"/>
  <c r="AF15" i="170"/>
  <c r="AG9" i="170" s="1"/>
  <c r="P71" i="170"/>
  <c r="Q71" i="170"/>
  <c r="Q11" i="170"/>
  <c r="P11" i="170"/>
  <c r="Q41" i="170"/>
  <c r="P41" i="170"/>
  <c r="N33" i="170"/>
  <c r="AF33" i="170"/>
  <c r="AG26" i="170" s="1"/>
  <c r="AE33" i="170"/>
  <c r="Q30" i="170"/>
  <c r="P30" i="170"/>
  <c r="Q45" i="170"/>
  <c r="P45" i="170"/>
  <c r="Q10" i="170"/>
  <c r="P10" i="170"/>
  <c r="Q66" i="170"/>
  <c r="P66" i="170"/>
  <c r="Q48" i="170"/>
  <c r="P48" i="170"/>
  <c r="Q7" i="170"/>
  <c r="P7" i="170"/>
  <c r="Q46" i="170"/>
  <c r="P46" i="170"/>
  <c r="Q40" i="170"/>
  <c r="P40" i="170"/>
  <c r="Q35" i="170"/>
  <c r="P35" i="170"/>
  <c r="Q32" i="170"/>
  <c r="P32" i="170"/>
  <c r="Q72" i="170"/>
  <c r="P72" i="170"/>
  <c r="Q60" i="170"/>
  <c r="P60" i="170"/>
  <c r="Q23" i="170"/>
  <c r="P23" i="170"/>
  <c r="Q21" i="170"/>
  <c r="P21" i="170"/>
  <c r="Q73" i="170"/>
  <c r="P73" i="170"/>
  <c r="Q43" i="170"/>
  <c r="P43" i="170"/>
  <c r="Q18" i="170"/>
  <c r="P18" i="170"/>
  <c r="N56" i="170"/>
  <c r="AF56" i="170"/>
  <c r="AG52" i="170" s="1"/>
  <c r="AE56" i="170"/>
  <c r="P68" i="170"/>
  <c r="Q68" i="170"/>
  <c r="N8" i="170"/>
  <c r="AF8" i="170"/>
  <c r="AG5" i="170" s="1"/>
  <c r="AE8" i="170"/>
  <c r="Q6" i="170"/>
  <c r="P6" i="170"/>
  <c r="N51" i="170"/>
  <c r="AF51" i="170"/>
  <c r="AG43" i="170" s="1"/>
  <c r="AE51" i="170"/>
  <c r="Q63" i="170"/>
  <c r="P63" i="170"/>
  <c r="Q5" i="170"/>
  <c r="P5" i="170"/>
  <c r="Q31" i="170"/>
  <c r="P31" i="170"/>
  <c r="AF42" i="170"/>
  <c r="AG34" i="170" s="1"/>
  <c r="AE42" i="170"/>
  <c r="N42" i="170"/>
  <c r="Q70" i="170"/>
  <c r="P70" i="170"/>
  <c r="Q38" i="170"/>
  <c r="P38" i="170"/>
  <c r="AF78" i="170"/>
  <c r="AG70" i="170" s="1"/>
  <c r="AE78" i="170"/>
  <c r="N78" i="170"/>
  <c r="Q36" i="170"/>
  <c r="P36" i="170"/>
  <c r="Q19" i="170"/>
  <c r="P19" i="170"/>
  <c r="Q20" i="170"/>
  <c r="P20" i="170"/>
  <c r="Q75" i="170"/>
  <c r="P75" i="170"/>
  <c r="Q16" i="170"/>
  <c r="P16" i="170"/>
  <c r="Q77" i="170"/>
  <c r="P77" i="170"/>
  <c r="Q49" i="170"/>
  <c r="P49" i="170"/>
  <c r="N64" i="170"/>
  <c r="AF64" i="170"/>
  <c r="AG57" i="170" s="1"/>
  <c r="AE64" i="170"/>
  <c r="N69" i="170"/>
  <c r="AF69" i="170"/>
  <c r="AG65" i="170" s="1"/>
  <c r="AE69" i="170"/>
  <c r="Q13" i="170"/>
  <c r="P13" i="170"/>
  <c r="G6" i="167"/>
  <c r="M7" i="168"/>
  <c r="N5" i="168"/>
  <c r="AF5" i="168"/>
  <c r="AE5" i="168"/>
  <c r="Q17" i="168"/>
  <c r="P17" i="168"/>
  <c r="M29" i="168"/>
  <c r="AE24" i="168"/>
  <c r="N24" i="168"/>
  <c r="AF24" i="168"/>
  <c r="AF33" i="168"/>
  <c r="AE33" i="168"/>
  <c r="N33" i="168"/>
  <c r="P39" i="168"/>
  <c r="Q39" i="168"/>
  <c r="N9" i="168"/>
  <c r="M13" i="168"/>
  <c r="AF9" i="168"/>
  <c r="AE9" i="168"/>
  <c r="AF50" i="168"/>
  <c r="AE50" i="168"/>
  <c r="N50" i="168"/>
  <c r="AF64" i="168"/>
  <c r="N64" i="168"/>
  <c r="AE64" i="168"/>
  <c r="Q19" i="168"/>
  <c r="P19" i="168"/>
  <c r="AF35" i="168"/>
  <c r="AE35" i="168"/>
  <c r="N35" i="168"/>
  <c r="Q42" i="168"/>
  <c r="P42" i="168"/>
  <c r="Q14" i="168"/>
  <c r="P14" i="168"/>
  <c r="AF26" i="168"/>
  <c r="AE26" i="168"/>
  <c r="N26" i="168"/>
  <c r="AF27" i="168"/>
  <c r="AE27" i="168"/>
  <c r="N27" i="168"/>
  <c r="P34" i="168"/>
  <c r="Q34" i="168"/>
  <c r="N44" i="168"/>
  <c r="M48" i="168"/>
  <c r="AF44" i="168"/>
  <c r="AE44" i="168"/>
  <c r="N59" i="168"/>
  <c r="AF59" i="168"/>
  <c r="AE59" i="168"/>
  <c r="N58" i="168"/>
  <c r="AF58" i="168"/>
  <c r="AE58" i="168"/>
  <c r="N6" i="168"/>
  <c r="AF6" i="168"/>
  <c r="AE6" i="168"/>
  <c r="AE25" i="168"/>
  <c r="N25" i="168"/>
  <c r="AF25" i="168"/>
  <c r="AE67" i="168"/>
  <c r="N67" i="168"/>
  <c r="AF67" i="168"/>
  <c r="I6" i="167"/>
  <c r="P55" i="168"/>
  <c r="Q55" i="168"/>
  <c r="AE65" i="168"/>
  <c r="N65" i="168"/>
  <c r="AF65" i="168"/>
  <c r="N21" i="168"/>
  <c r="AF21" i="168"/>
  <c r="AE21" i="168"/>
  <c r="Q47" i="168"/>
  <c r="P47" i="168"/>
  <c r="Q40" i="168"/>
  <c r="P40" i="168"/>
  <c r="N45" i="168"/>
  <c r="AF45" i="168"/>
  <c r="AE45" i="168"/>
  <c r="AF49" i="168"/>
  <c r="AE49" i="168"/>
  <c r="M56" i="168"/>
  <c r="N49" i="168"/>
  <c r="Q37" i="168"/>
  <c r="P37" i="168"/>
  <c r="M36" i="168"/>
  <c r="AF30" i="168"/>
  <c r="AE30" i="168"/>
  <c r="N30" i="168"/>
  <c r="N57" i="168"/>
  <c r="M61" i="168"/>
  <c r="AF57" i="168"/>
  <c r="AE57" i="168"/>
  <c r="N32" i="168"/>
  <c r="AF32" i="168"/>
  <c r="AE32" i="168"/>
  <c r="N18" i="168"/>
  <c r="AF18" i="168"/>
  <c r="AE18" i="168"/>
  <c r="M43" i="168"/>
  <c r="AF38" i="168"/>
  <c r="AE38" i="168"/>
  <c r="N38" i="168"/>
  <c r="N53" i="168"/>
  <c r="AF53" i="168"/>
  <c r="AE53" i="168"/>
  <c r="AE62" i="168"/>
  <c r="N62" i="168"/>
  <c r="M68" i="168"/>
  <c r="AF62" i="168"/>
  <c r="AF66" i="168"/>
  <c r="N66" i="168"/>
  <c r="AE66" i="168"/>
  <c r="N10" i="168"/>
  <c r="N12" i="168"/>
  <c r="N15" i="168"/>
  <c r="Q41" i="168"/>
  <c r="AE47" i="168"/>
  <c r="N54" i="168"/>
  <c r="N28" i="168"/>
  <c r="N31" i="168"/>
  <c r="N52" i="168"/>
  <c r="I18" i="167"/>
  <c r="L19" i="167"/>
  <c r="F2" i="168"/>
  <c r="AE17" i="168"/>
  <c r="AE19" i="168"/>
  <c r="M23" i="168"/>
  <c r="AE40" i="168"/>
  <c r="AE42" i="168"/>
  <c r="P51" i="168"/>
  <c r="AE55" i="168"/>
  <c r="AE54" i="168"/>
  <c r="AF55" i="168"/>
  <c r="AE28" i="168"/>
  <c r="AE31" i="168"/>
  <c r="AF34" i="168"/>
  <c r="AE52" i="168"/>
  <c r="P22" i="168"/>
  <c r="P46" i="168"/>
  <c r="P63" i="168"/>
  <c r="F6" i="167"/>
  <c r="E6" i="167"/>
  <c r="AF63" i="166"/>
  <c r="AE63" i="166"/>
  <c r="AD63" i="166"/>
  <c r="Z63" i="166"/>
  <c r="Y63" i="166"/>
  <c r="O63" i="166"/>
  <c r="N63" i="166"/>
  <c r="M14" i="165" s="1"/>
  <c r="M63" i="166"/>
  <c r="K63" i="166"/>
  <c r="AF62" i="166"/>
  <c r="AE62" i="166"/>
  <c r="V62" i="166"/>
  <c r="U62" i="166"/>
  <c r="Q62" i="166"/>
  <c r="P62" i="166"/>
  <c r="O62" i="166"/>
  <c r="N62" i="166"/>
  <c r="M62" i="166"/>
  <c r="K62" i="166"/>
  <c r="G62" i="166"/>
  <c r="AF61" i="166"/>
  <c r="AE61" i="166"/>
  <c r="V61" i="166"/>
  <c r="U61" i="166"/>
  <c r="Q61" i="166"/>
  <c r="P61" i="166"/>
  <c r="O61" i="166"/>
  <c r="N61" i="166"/>
  <c r="M61" i="166"/>
  <c r="K61" i="166"/>
  <c r="G61" i="166"/>
  <c r="AF60" i="166"/>
  <c r="AE60" i="166"/>
  <c r="V60" i="166"/>
  <c r="U60" i="166"/>
  <c r="Q60" i="166"/>
  <c r="P60" i="166"/>
  <c r="O60" i="166"/>
  <c r="N60" i="166"/>
  <c r="M60" i="166"/>
  <c r="K60" i="166"/>
  <c r="G60" i="166"/>
  <c r="AF59" i="166"/>
  <c r="AE59" i="166"/>
  <c r="V59" i="166"/>
  <c r="U59" i="166"/>
  <c r="Q59" i="166"/>
  <c r="P59" i="166"/>
  <c r="O59" i="166"/>
  <c r="N59" i="166"/>
  <c r="M59" i="166"/>
  <c r="K59" i="166"/>
  <c r="G59" i="166"/>
  <c r="AG58" i="166"/>
  <c r="AF58" i="166"/>
  <c r="AE58" i="166"/>
  <c r="X58" i="166"/>
  <c r="W58" i="166"/>
  <c r="V58" i="166"/>
  <c r="Q58" i="166"/>
  <c r="P58" i="166"/>
  <c r="O58" i="166"/>
  <c r="N58" i="166"/>
  <c r="M58" i="166"/>
  <c r="K58" i="166"/>
  <c r="G58" i="166"/>
  <c r="AF57" i="166"/>
  <c r="AE57" i="166"/>
  <c r="AD57" i="166"/>
  <c r="Z57" i="166"/>
  <c r="Y57" i="166"/>
  <c r="O57" i="166"/>
  <c r="N57" i="166"/>
  <c r="P57" i="166" s="1"/>
  <c r="M57" i="166"/>
  <c r="K57" i="166"/>
  <c r="AF56" i="166"/>
  <c r="AE56" i="166"/>
  <c r="V56" i="166"/>
  <c r="U56" i="166"/>
  <c r="Q56" i="166"/>
  <c r="P56" i="166"/>
  <c r="O56" i="166"/>
  <c r="N56" i="166"/>
  <c r="M56" i="166"/>
  <c r="K56" i="166"/>
  <c r="G56" i="166"/>
  <c r="AF55" i="166"/>
  <c r="AE55" i="166"/>
  <c r="V55" i="166"/>
  <c r="U55" i="166"/>
  <c r="Q55" i="166"/>
  <c r="P55" i="166"/>
  <c r="O55" i="166"/>
  <c r="N55" i="166"/>
  <c r="M55" i="166"/>
  <c r="K55" i="166"/>
  <c r="G55" i="166"/>
  <c r="AF54" i="166"/>
  <c r="AE54" i="166"/>
  <c r="V54" i="166"/>
  <c r="U54" i="166"/>
  <c r="Q54" i="166"/>
  <c r="P54" i="166"/>
  <c r="O54" i="166"/>
  <c r="N54" i="166"/>
  <c r="M54" i="166"/>
  <c r="K54" i="166"/>
  <c r="G54" i="166"/>
  <c r="AG53" i="166"/>
  <c r="AF53" i="166"/>
  <c r="AE53" i="166"/>
  <c r="V53" i="166"/>
  <c r="Q53" i="166"/>
  <c r="P53" i="166"/>
  <c r="O53" i="166"/>
  <c r="N53" i="166"/>
  <c r="M53" i="166"/>
  <c r="K53" i="166"/>
  <c r="G53" i="166"/>
  <c r="AF52" i="166"/>
  <c r="AE52" i="166"/>
  <c r="AD52" i="166"/>
  <c r="Z52" i="166"/>
  <c r="Y52" i="166"/>
  <c r="O52" i="166"/>
  <c r="N52" i="166"/>
  <c r="P52" i="166" s="1"/>
  <c r="M52" i="166"/>
  <c r="K52" i="166"/>
  <c r="AF51" i="166"/>
  <c r="AE51" i="166"/>
  <c r="V51" i="166"/>
  <c r="U51" i="166"/>
  <c r="Q51" i="166"/>
  <c r="P51" i="166"/>
  <c r="O51" i="166"/>
  <c r="N51" i="166"/>
  <c r="M51" i="166"/>
  <c r="K51" i="166"/>
  <c r="G51" i="166"/>
  <c r="AF50" i="166"/>
  <c r="AE50" i="166"/>
  <c r="V50" i="166"/>
  <c r="U50" i="166"/>
  <c r="Q50" i="166"/>
  <c r="P50" i="166"/>
  <c r="O50" i="166"/>
  <c r="N50" i="166"/>
  <c r="M50" i="166"/>
  <c r="K50" i="166"/>
  <c r="G50" i="166"/>
  <c r="AF49" i="166"/>
  <c r="AE49" i="166"/>
  <c r="V49" i="166"/>
  <c r="U49" i="166"/>
  <c r="Q49" i="166"/>
  <c r="P49" i="166"/>
  <c r="O49" i="166"/>
  <c r="N49" i="166"/>
  <c r="M49" i="166"/>
  <c r="K49" i="166"/>
  <c r="G49" i="166"/>
  <c r="AF48" i="166"/>
  <c r="AE48" i="166"/>
  <c r="V48" i="166"/>
  <c r="U48" i="166"/>
  <c r="Q48" i="166"/>
  <c r="P48" i="166"/>
  <c r="O48" i="166"/>
  <c r="N48" i="166"/>
  <c r="M48" i="166"/>
  <c r="K48" i="166"/>
  <c r="G48" i="166"/>
  <c r="AF47" i="166"/>
  <c r="AE47" i="166"/>
  <c r="V47" i="166"/>
  <c r="U47" i="166"/>
  <c r="Q47" i="166"/>
  <c r="P47" i="166"/>
  <c r="O47" i="166"/>
  <c r="N47" i="166"/>
  <c r="M47" i="166"/>
  <c r="K47" i="166"/>
  <c r="G47" i="166"/>
  <c r="AG46" i="166"/>
  <c r="AF46" i="166"/>
  <c r="AE46" i="166"/>
  <c r="V46" i="166"/>
  <c r="Q46" i="166"/>
  <c r="P46" i="166"/>
  <c r="O46" i="166"/>
  <c r="N46" i="166"/>
  <c r="M46" i="166"/>
  <c r="K46" i="166"/>
  <c r="G46" i="166"/>
  <c r="AF45" i="166"/>
  <c r="AE45" i="166"/>
  <c r="AD45" i="166"/>
  <c r="Z45" i="166"/>
  <c r="Y45" i="166"/>
  <c r="O45" i="166"/>
  <c r="N45" i="166"/>
  <c r="P45" i="166" s="1"/>
  <c r="M45" i="166"/>
  <c r="K45" i="166"/>
  <c r="AF44" i="166"/>
  <c r="AE44" i="166"/>
  <c r="V44" i="166"/>
  <c r="U44" i="166"/>
  <c r="Q44" i="166"/>
  <c r="P44" i="166"/>
  <c r="O44" i="166"/>
  <c r="N44" i="166"/>
  <c r="M44" i="166"/>
  <c r="K44" i="166"/>
  <c r="G44" i="166"/>
  <c r="AF43" i="166"/>
  <c r="AE43" i="166"/>
  <c r="V43" i="166"/>
  <c r="U43" i="166"/>
  <c r="Q43" i="166"/>
  <c r="P43" i="166"/>
  <c r="O43" i="166"/>
  <c r="N43" i="166"/>
  <c r="M43" i="166"/>
  <c r="K43" i="166"/>
  <c r="G43" i="166"/>
  <c r="AF42" i="166"/>
  <c r="AE42" i="166"/>
  <c r="V42" i="166"/>
  <c r="U42" i="166"/>
  <c r="Q42" i="166"/>
  <c r="P42" i="166"/>
  <c r="O42" i="166"/>
  <c r="N42" i="166"/>
  <c r="M42" i="166"/>
  <c r="K42" i="166"/>
  <c r="G42" i="166"/>
  <c r="AG41" i="166"/>
  <c r="AF41" i="166"/>
  <c r="AE41" i="166"/>
  <c r="V41" i="166"/>
  <c r="Q41" i="166"/>
  <c r="P41" i="166"/>
  <c r="O41" i="166"/>
  <c r="N41" i="166"/>
  <c r="M41" i="166"/>
  <c r="K41" i="166"/>
  <c r="G41" i="166"/>
  <c r="AF40" i="166"/>
  <c r="AE40" i="166"/>
  <c r="AD40" i="166"/>
  <c r="Z40" i="166"/>
  <c r="Y40" i="166"/>
  <c r="O40" i="166"/>
  <c r="N40" i="166"/>
  <c r="L14" i="165" s="1"/>
  <c r="M40" i="166"/>
  <c r="K40" i="166"/>
  <c r="AF39" i="166"/>
  <c r="AE39" i="166"/>
  <c r="V39" i="166"/>
  <c r="U39" i="166"/>
  <c r="Q39" i="166"/>
  <c r="P39" i="166"/>
  <c r="O39" i="166"/>
  <c r="N39" i="166"/>
  <c r="M39" i="166"/>
  <c r="K39" i="166"/>
  <c r="G39" i="166"/>
  <c r="AF38" i="166"/>
  <c r="AE38" i="166"/>
  <c r="V38" i="166"/>
  <c r="U38" i="166"/>
  <c r="Q38" i="166"/>
  <c r="P38" i="166"/>
  <c r="O38" i="166"/>
  <c r="N38" i="166"/>
  <c r="M38" i="166"/>
  <c r="K38" i="166"/>
  <c r="G38" i="166"/>
  <c r="AF37" i="166"/>
  <c r="AE37" i="166"/>
  <c r="V37" i="166"/>
  <c r="U37" i="166"/>
  <c r="Q37" i="166"/>
  <c r="P37" i="166"/>
  <c r="O37" i="166"/>
  <c r="N37" i="166"/>
  <c r="M37" i="166"/>
  <c r="K37" i="166"/>
  <c r="G37" i="166"/>
  <c r="AF36" i="166"/>
  <c r="AE36" i="166"/>
  <c r="V36" i="166"/>
  <c r="U36" i="166"/>
  <c r="Q36" i="166"/>
  <c r="P36" i="166"/>
  <c r="O36" i="166"/>
  <c r="N36" i="166"/>
  <c r="M36" i="166"/>
  <c r="K36" i="166"/>
  <c r="G36" i="166"/>
  <c r="AG35" i="166"/>
  <c r="AF35" i="166"/>
  <c r="AE35" i="166"/>
  <c r="X35" i="166"/>
  <c r="W35" i="166"/>
  <c r="V35" i="166"/>
  <c r="Q35" i="166"/>
  <c r="P35" i="166"/>
  <c r="O35" i="166"/>
  <c r="N35" i="166"/>
  <c r="M35" i="166"/>
  <c r="K35" i="166"/>
  <c r="G35" i="166"/>
  <c r="AD34" i="166"/>
  <c r="Z34" i="166"/>
  <c r="Y34" i="166"/>
  <c r="O34" i="166"/>
  <c r="M34" i="166"/>
  <c r="N34" i="166" s="1"/>
  <c r="K34" i="166"/>
  <c r="AF33" i="166"/>
  <c r="AE33" i="166"/>
  <c r="V33" i="166"/>
  <c r="U33" i="166"/>
  <c r="Q33" i="166"/>
  <c r="P33" i="166"/>
  <c r="O33" i="166"/>
  <c r="N33" i="166"/>
  <c r="M33" i="166"/>
  <c r="K33" i="166"/>
  <c r="G33" i="166"/>
  <c r="AF32" i="166"/>
  <c r="AE32" i="166"/>
  <c r="V32" i="166"/>
  <c r="U32" i="166"/>
  <c r="Q32" i="166"/>
  <c r="P32" i="166"/>
  <c r="O32" i="166"/>
  <c r="N32" i="166"/>
  <c r="M32" i="166"/>
  <c r="K32" i="166"/>
  <c r="G32" i="166"/>
  <c r="AF31" i="166"/>
  <c r="AE31" i="166"/>
  <c r="V31" i="166"/>
  <c r="U31" i="166"/>
  <c r="Q31" i="166"/>
  <c r="P31" i="166"/>
  <c r="O31" i="166"/>
  <c r="N31" i="166"/>
  <c r="M31" i="166"/>
  <c r="K31" i="166"/>
  <c r="G31" i="166"/>
  <c r="AF30" i="166"/>
  <c r="AE30" i="166"/>
  <c r="V30" i="166"/>
  <c r="U30" i="166"/>
  <c r="Q30" i="166"/>
  <c r="P30" i="166"/>
  <c r="O30" i="166"/>
  <c r="N30" i="166"/>
  <c r="M30" i="166"/>
  <c r="K30" i="166"/>
  <c r="G30" i="166"/>
  <c r="AF29" i="166"/>
  <c r="AE29" i="166"/>
  <c r="X29" i="166"/>
  <c r="W29" i="166"/>
  <c r="V29" i="166"/>
  <c r="Q29" i="166"/>
  <c r="P29" i="166"/>
  <c r="O29" i="166"/>
  <c r="N29" i="166"/>
  <c r="M29" i="166"/>
  <c r="K29" i="166"/>
  <c r="G29" i="166"/>
  <c r="AF28" i="166"/>
  <c r="AE28" i="166"/>
  <c r="AD28" i="166"/>
  <c r="Z28" i="166"/>
  <c r="Y28" i="166"/>
  <c r="Q28" i="166"/>
  <c r="R22" i="166" s="1"/>
  <c r="O28" i="166"/>
  <c r="N28" i="166"/>
  <c r="P28" i="166" s="1"/>
  <c r="M28" i="166"/>
  <c r="K28" i="166"/>
  <c r="AF27" i="166"/>
  <c r="AE27" i="166"/>
  <c r="V27" i="166"/>
  <c r="U27" i="166"/>
  <c r="Q27" i="166"/>
  <c r="P27" i="166"/>
  <c r="O27" i="166"/>
  <c r="N27" i="166"/>
  <c r="M27" i="166"/>
  <c r="K27" i="166"/>
  <c r="G27" i="166"/>
  <c r="AF26" i="166"/>
  <c r="AE26" i="166"/>
  <c r="V26" i="166"/>
  <c r="U26" i="166"/>
  <c r="Q26" i="166"/>
  <c r="P26" i="166"/>
  <c r="O26" i="166"/>
  <c r="N26" i="166"/>
  <c r="M26" i="166"/>
  <c r="K26" i="166"/>
  <c r="G26" i="166"/>
  <c r="AF25" i="166"/>
  <c r="AE25" i="166"/>
  <c r="V25" i="166"/>
  <c r="U25" i="166"/>
  <c r="Q25" i="166"/>
  <c r="P25" i="166"/>
  <c r="O25" i="166"/>
  <c r="N25" i="166"/>
  <c r="M25" i="166"/>
  <c r="K25" i="166"/>
  <c r="G25" i="166"/>
  <c r="AF24" i="166"/>
  <c r="AE24" i="166"/>
  <c r="V24" i="166"/>
  <c r="U24" i="166"/>
  <c r="Q24" i="166"/>
  <c r="P24" i="166"/>
  <c r="O24" i="166"/>
  <c r="N24" i="166"/>
  <c r="M24" i="166"/>
  <c r="K24" i="166"/>
  <c r="G24" i="166"/>
  <c r="AF23" i="166"/>
  <c r="AE23" i="166"/>
  <c r="V23" i="166"/>
  <c r="U23" i="166"/>
  <c r="Q23" i="166"/>
  <c r="P23" i="166"/>
  <c r="O23" i="166"/>
  <c r="N23" i="166"/>
  <c r="M23" i="166"/>
  <c r="K23" i="166"/>
  <c r="G23" i="166"/>
  <c r="AG22" i="166"/>
  <c r="AF22" i="166"/>
  <c r="AE22" i="166"/>
  <c r="V22" i="166"/>
  <c r="Q22" i="166"/>
  <c r="P22" i="166"/>
  <c r="O22" i="166"/>
  <c r="N22" i="166"/>
  <c r="M22" i="166"/>
  <c r="K22" i="166"/>
  <c r="G22" i="166"/>
  <c r="AD21" i="166"/>
  <c r="Z21" i="166"/>
  <c r="Y21" i="166"/>
  <c r="O21" i="166"/>
  <c r="K21" i="166"/>
  <c r="AF20" i="166"/>
  <c r="AE20" i="166"/>
  <c r="V20" i="166"/>
  <c r="U20" i="166"/>
  <c r="Q20" i="166"/>
  <c r="P20" i="166"/>
  <c r="O20" i="166"/>
  <c r="N20" i="166"/>
  <c r="M20" i="166"/>
  <c r="K20" i="166"/>
  <c r="G20" i="166"/>
  <c r="AF19" i="166"/>
  <c r="AE19" i="166"/>
  <c r="V19" i="166"/>
  <c r="U19" i="166"/>
  <c r="Q19" i="166"/>
  <c r="P19" i="166"/>
  <c r="O19" i="166"/>
  <c r="N19" i="166"/>
  <c r="M19" i="166"/>
  <c r="K19" i="166"/>
  <c r="G19" i="166"/>
  <c r="AF18" i="166"/>
  <c r="AE18" i="166"/>
  <c r="V18" i="166"/>
  <c r="U18" i="166"/>
  <c r="Q18" i="166"/>
  <c r="P18" i="166"/>
  <c r="O18" i="166"/>
  <c r="N18" i="166"/>
  <c r="M18" i="166"/>
  <c r="K18" i="166"/>
  <c r="G18" i="166"/>
  <c r="AF17" i="166"/>
  <c r="AE17" i="166"/>
  <c r="V17" i="166"/>
  <c r="U17" i="166"/>
  <c r="Q17" i="166"/>
  <c r="P17" i="166"/>
  <c r="O17" i="166"/>
  <c r="N17" i="166"/>
  <c r="M17" i="166"/>
  <c r="K17" i="166"/>
  <c r="G17" i="166"/>
  <c r="AF16" i="166"/>
  <c r="AE16" i="166"/>
  <c r="V16" i="166"/>
  <c r="U16" i="166"/>
  <c r="Q16" i="166"/>
  <c r="P16" i="166"/>
  <c r="O16" i="166"/>
  <c r="N16" i="166"/>
  <c r="M16" i="166"/>
  <c r="K16" i="166"/>
  <c r="G16" i="166"/>
  <c r="AF15" i="166"/>
  <c r="AE15" i="166"/>
  <c r="V15" i="166"/>
  <c r="U15" i="166"/>
  <c r="Q15" i="166"/>
  <c r="P15" i="166"/>
  <c r="O15" i="166"/>
  <c r="N15" i="166"/>
  <c r="M15" i="166"/>
  <c r="K15" i="166"/>
  <c r="G15" i="166"/>
  <c r="AF14" i="166"/>
  <c r="AE14" i="166"/>
  <c r="V14" i="166"/>
  <c r="U14" i="166"/>
  <c r="Q14" i="166"/>
  <c r="P14" i="166"/>
  <c r="O14" i="166"/>
  <c r="N14" i="166"/>
  <c r="M14" i="166"/>
  <c r="K14" i="166"/>
  <c r="G14" i="166"/>
  <c r="AF13" i="166"/>
  <c r="AE13" i="166"/>
  <c r="V13" i="166"/>
  <c r="U13" i="166"/>
  <c r="Q13" i="166"/>
  <c r="P13" i="166"/>
  <c r="O13" i="166"/>
  <c r="N13" i="166"/>
  <c r="M13" i="166"/>
  <c r="K13" i="166"/>
  <c r="G13" i="166"/>
  <c r="AF12" i="166"/>
  <c r="AE12" i="166"/>
  <c r="X12" i="166"/>
  <c r="W12" i="166"/>
  <c r="V12" i="166"/>
  <c r="O12" i="166"/>
  <c r="M12" i="166"/>
  <c r="M21" i="166" s="1"/>
  <c r="K12" i="166"/>
  <c r="G12" i="166"/>
  <c r="AF11" i="166"/>
  <c r="AE11" i="166"/>
  <c r="AD11" i="166"/>
  <c r="Z11" i="166"/>
  <c r="Y11" i="166"/>
  <c r="Q11" i="166"/>
  <c r="O11" i="166"/>
  <c r="N11" i="166"/>
  <c r="P11" i="166" s="1"/>
  <c r="M11" i="166"/>
  <c r="K11" i="166"/>
  <c r="AF10" i="166"/>
  <c r="AE10" i="166"/>
  <c r="V10" i="166"/>
  <c r="U10" i="166"/>
  <c r="Q10" i="166"/>
  <c r="P10" i="166"/>
  <c r="O10" i="166"/>
  <c r="N10" i="166"/>
  <c r="M10" i="166"/>
  <c r="K10" i="166"/>
  <c r="G10" i="166"/>
  <c r="AF9" i="166"/>
  <c r="AE9" i="166"/>
  <c r="V9" i="166"/>
  <c r="U9" i="166"/>
  <c r="Q9" i="166"/>
  <c r="P9" i="166"/>
  <c r="O9" i="166"/>
  <c r="N9" i="166"/>
  <c r="M9" i="166"/>
  <c r="K9" i="166"/>
  <c r="G9" i="166"/>
  <c r="AG8" i="166"/>
  <c r="AF8" i="166"/>
  <c r="AE8" i="166"/>
  <c r="X8" i="166"/>
  <c r="W8" i="166"/>
  <c r="V8" i="166"/>
  <c r="R8" i="166"/>
  <c r="Q8" i="166"/>
  <c r="P8" i="166"/>
  <c r="O8" i="166"/>
  <c r="N8" i="166"/>
  <c r="M8" i="166"/>
  <c r="K8" i="166"/>
  <c r="G8" i="166"/>
  <c r="AF7" i="166"/>
  <c r="AE7" i="166"/>
  <c r="AD7" i="166"/>
  <c r="Z7" i="166"/>
  <c r="Y7" i="166"/>
  <c r="Q7" i="166"/>
  <c r="P7" i="166"/>
  <c r="O7" i="166"/>
  <c r="N7" i="166"/>
  <c r="M7" i="166"/>
  <c r="K7" i="166"/>
  <c r="AF6" i="166"/>
  <c r="AE6" i="166"/>
  <c r="V6" i="166"/>
  <c r="U6" i="166"/>
  <c r="Q6" i="166"/>
  <c r="O6" i="166"/>
  <c r="N6" i="166"/>
  <c r="P6" i="166" s="1"/>
  <c r="M6" i="166"/>
  <c r="K6" i="166"/>
  <c r="G6" i="166"/>
  <c r="AG5" i="166"/>
  <c r="AF5" i="166"/>
  <c r="AE5" i="166"/>
  <c r="V5" i="166"/>
  <c r="R5" i="166"/>
  <c r="Q5" i="166"/>
  <c r="P5" i="166"/>
  <c r="O5" i="166"/>
  <c r="N5" i="166"/>
  <c r="M5" i="166"/>
  <c r="K5" i="166"/>
  <c r="G5" i="166"/>
  <c r="AD2" i="166"/>
  <c r="Z2" i="166"/>
  <c r="Y2" i="166"/>
  <c r="H2" i="166"/>
  <c r="F2" i="166"/>
  <c r="H1" i="166"/>
  <c r="F1" i="166"/>
  <c r="D1" i="166"/>
  <c r="M22" i="165"/>
  <c r="L22" i="165"/>
  <c r="K22" i="165"/>
  <c r="J22" i="165"/>
  <c r="I22" i="165"/>
  <c r="H22" i="165"/>
  <c r="G22" i="165"/>
  <c r="F22" i="165"/>
  <c r="E22" i="165"/>
  <c r="D22" i="165"/>
  <c r="M21" i="165"/>
  <c r="L21" i="165"/>
  <c r="K21" i="165"/>
  <c r="J21" i="165"/>
  <c r="I21" i="165"/>
  <c r="H21" i="165"/>
  <c r="G21" i="165"/>
  <c r="F21" i="165"/>
  <c r="E21" i="165"/>
  <c r="D21" i="165"/>
  <c r="M20" i="165"/>
  <c r="L20" i="165"/>
  <c r="K20" i="165"/>
  <c r="J20" i="165"/>
  <c r="I20" i="165"/>
  <c r="H20" i="165"/>
  <c r="G20" i="165"/>
  <c r="F20" i="165"/>
  <c r="E20" i="165"/>
  <c r="D20" i="165"/>
  <c r="M19" i="165"/>
  <c r="L19" i="165"/>
  <c r="K19" i="165"/>
  <c r="J19" i="165"/>
  <c r="I19" i="165"/>
  <c r="H19" i="165"/>
  <c r="G19" i="165"/>
  <c r="F19" i="165"/>
  <c r="E19" i="165"/>
  <c r="D19" i="165"/>
  <c r="M18" i="165"/>
  <c r="L18" i="165"/>
  <c r="K18" i="165"/>
  <c r="J18" i="165"/>
  <c r="I18" i="165"/>
  <c r="H18" i="165"/>
  <c r="G18" i="165"/>
  <c r="F18" i="165"/>
  <c r="E18" i="165"/>
  <c r="D18" i="165"/>
  <c r="M17" i="165"/>
  <c r="L17" i="165"/>
  <c r="K17" i="165"/>
  <c r="J17" i="165"/>
  <c r="I17" i="165"/>
  <c r="H17" i="165"/>
  <c r="G17" i="165"/>
  <c r="F17" i="165"/>
  <c r="E17" i="165"/>
  <c r="D17" i="165"/>
  <c r="M16" i="165"/>
  <c r="L16" i="165"/>
  <c r="K16" i="165"/>
  <c r="J16" i="165"/>
  <c r="I16" i="165"/>
  <c r="H16" i="165"/>
  <c r="G16" i="165"/>
  <c r="F16" i="165"/>
  <c r="E16" i="165"/>
  <c r="D16" i="165"/>
  <c r="J14" i="165"/>
  <c r="I14" i="165"/>
  <c r="H14" i="165"/>
  <c r="G14" i="165"/>
  <c r="G15" i="165" s="1"/>
  <c r="E14" i="165"/>
  <c r="E15" i="165" s="1"/>
  <c r="D14" i="165"/>
  <c r="M13" i="165"/>
  <c r="L13" i="165"/>
  <c r="K13" i="165"/>
  <c r="J13" i="165"/>
  <c r="I13" i="165"/>
  <c r="H13" i="165"/>
  <c r="E6" i="165" s="1"/>
  <c r="G13" i="165"/>
  <c r="F13" i="165"/>
  <c r="E13" i="165"/>
  <c r="D13" i="165"/>
  <c r="N6" i="165"/>
  <c r="M6" i="165"/>
  <c r="L6" i="165"/>
  <c r="K6" i="165"/>
  <c r="I3" i="165"/>
  <c r="F3" i="165"/>
  <c r="C3" i="165"/>
  <c r="G8" i="173" l="1"/>
  <c r="F8" i="173"/>
  <c r="E8" i="173"/>
  <c r="G7" i="171"/>
  <c r="G8" i="171"/>
  <c r="F8" i="171"/>
  <c r="E8" i="171"/>
  <c r="E7" i="171"/>
  <c r="F7" i="171"/>
  <c r="K14" i="169"/>
  <c r="Q42" i="170"/>
  <c r="R34" i="170" s="1"/>
  <c r="P42" i="170"/>
  <c r="F14" i="169"/>
  <c r="F15" i="169" s="1"/>
  <c r="Q25" i="170"/>
  <c r="R16" i="170" s="1"/>
  <c r="P25" i="170"/>
  <c r="I14" i="169"/>
  <c r="I15" i="169" s="1"/>
  <c r="Q64" i="170"/>
  <c r="R57" i="170" s="1"/>
  <c r="P64" i="170"/>
  <c r="L14" i="169"/>
  <c r="L15" i="169" s="1"/>
  <c r="P51" i="170"/>
  <c r="Q51" i="170"/>
  <c r="R43" i="170" s="1"/>
  <c r="Q8" i="170"/>
  <c r="R5" i="170" s="1"/>
  <c r="D2" i="170"/>
  <c r="P8" i="170"/>
  <c r="D14" i="169"/>
  <c r="Q78" i="170"/>
  <c r="R70" i="170" s="1"/>
  <c r="P78" i="170"/>
  <c r="M14" i="169"/>
  <c r="M15" i="169" s="1"/>
  <c r="Q69" i="170"/>
  <c r="R65" i="170" s="1"/>
  <c r="P69" i="170"/>
  <c r="J14" i="169"/>
  <c r="J15" i="169" s="1"/>
  <c r="Q15" i="170"/>
  <c r="R9" i="170" s="1"/>
  <c r="P15" i="170"/>
  <c r="E14" i="169"/>
  <c r="E15" i="169" s="1"/>
  <c r="Q56" i="170"/>
  <c r="R52" i="170" s="1"/>
  <c r="P56" i="170"/>
  <c r="H14" i="169"/>
  <c r="H15" i="169" s="1"/>
  <c r="Q33" i="170"/>
  <c r="R26" i="170" s="1"/>
  <c r="P33" i="170"/>
  <c r="G14" i="169"/>
  <c r="G15" i="169" s="1"/>
  <c r="G6" i="165"/>
  <c r="I6" i="165"/>
  <c r="L15" i="165"/>
  <c r="F6" i="165"/>
  <c r="D15" i="165"/>
  <c r="H15" i="165"/>
  <c r="I15" i="165"/>
  <c r="M15" i="165"/>
  <c r="J15" i="165"/>
  <c r="Q52" i="168"/>
  <c r="P52" i="168"/>
  <c r="N36" i="168"/>
  <c r="AF36" i="168"/>
  <c r="AG30" i="168" s="1"/>
  <c r="AE36" i="168"/>
  <c r="Q67" i="168"/>
  <c r="P67" i="168"/>
  <c r="Q64" i="168"/>
  <c r="P64" i="168"/>
  <c r="Q31" i="168"/>
  <c r="P31" i="168"/>
  <c r="AF68" i="168"/>
  <c r="AG62" i="168" s="1"/>
  <c r="AE68" i="168"/>
  <c r="N68" i="168"/>
  <c r="P18" i="168"/>
  <c r="Q18" i="168"/>
  <c r="Q59" i="168"/>
  <c r="P59" i="168"/>
  <c r="Q28" i="168"/>
  <c r="P28" i="168"/>
  <c r="Q62" i="168"/>
  <c r="P62" i="168"/>
  <c r="Q50" i="168"/>
  <c r="P50" i="168"/>
  <c r="Q54" i="168"/>
  <c r="P54" i="168"/>
  <c r="Q49" i="168"/>
  <c r="P49" i="168"/>
  <c r="Q25" i="168"/>
  <c r="P25" i="168"/>
  <c r="Q24" i="168"/>
  <c r="P24" i="168"/>
  <c r="Q32" i="168"/>
  <c r="P32" i="168"/>
  <c r="N56" i="168"/>
  <c r="AF56" i="168"/>
  <c r="AG49" i="168" s="1"/>
  <c r="AE56" i="168"/>
  <c r="Q21" i="168"/>
  <c r="P21" i="168"/>
  <c r="AE48" i="168"/>
  <c r="N48" i="168"/>
  <c r="AF48" i="168"/>
  <c r="AG44" i="168" s="1"/>
  <c r="Q44" i="168"/>
  <c r="P44" i="168"/>
  <c r="AF29" i="168"/>
  <c r="AG24" i="168" s="1"/>
  <c r="AE29" i="168"/>
  <c r="N29" i="168"/>
  <c r="AF23" i="168"/>
  <c r="AG14" i="168" s="1"/>
  <c r="N23" i="168"/>
  <c r="AE23" i="168"/>
  <c r="Q15" i="168"/>
  <c r="P15" i="168"/>
  <c r="Q53" i="168"/>
  <c r="P53" i="168"/>
  <c r="Q65" i="168"/>
  <c r="P65" i="168"/>
  <c r="Q35" i="168"/>
  <c r="P35" i="168"/>
  <c r="Q12" i="168"/>
  <c r="P12" i="168"/>
  <c r="Q38" i="168"/>
  <c r="P38" i="168"/>
  <c r="AF61" i="168"/>
  <c r="AG57" i="168" s="1"/>
  <c r="N61" i="168"/>
  <c r="AE61" i="168"/>
  <c r="Q6" i="168"/>
  <c r="P6" i="168"/>
  <c r="N13" i="168"/>
  <c r="AF13" i="168"/>
  <c r="AG8" i="168" s="1"/>
  <c r="AE13" i="168"/>
  <c r="Q10" i="168"/>
  <c r="P10" i="168"/>
  <c r="P57" i="168"/>
  <c r="Q57" i="168"/>
  <c r="Q27" i="168"/>
  <c r="P27" i="168"/>
  <c r="Q9" i="168"/>
  <c r="P9" i="168"/>
  <c r="Q30" i="168"/>
  <c r="P30" i="168"/>
  <c r="Q45" i="168"/>
  <c r="P45" i="168"/>
  <c r="Q66" i="168"/>
  <c r="P66" i="168"/>
  <c r="N43" i="168"/>
  <c r="AF43" i="168"/>
  <c r="AG37" i="168" s="1"/>
  <c r="AE43" i="168"/>
  <c r="P58" i="168"/>
  <c r="Q58" i="168"/>
  <c r="Q5" i="168"/>
  <c r="P5" i="168"/>
  <c r="Q26" i="168"/>
  <c r="P26" i="168"/>
  <c r="Q33" i="168"/>
  <c r="P33" i="168"/>
  <c r="N7" i="168"/>
  <c r="AF7" i="168"/>
  <c r="AG5" i="168" s="1"/>
  <c r="AE7" i="168"/>
  <c r="Q34" i="166"/>
  <c r="R29" i="166" s="1"/>
  <c r="P34" i="166"/>
  <c r="K14" i="165"/>
  <c r="N21" i="166"/>
  <c r="AF21" i="166"/>
  <c r="AG12" i="166" s="1"/>
  <c r="AE21" i="166"/>
  <c r="Q40" i="166"/>
  <c r="R35" i="166" s="1"/>
  <c r="Q45" i="166"/>
  <c r="R41" i="166" s="1"/>
  <c r="Q52" i="166"/>
  <c r="R46" i="166" s="1"/>
  <c r="Q57" i="166"/>
  <c r="R53" i="166" s="1"/>
  <c r="AE34" i="166"/>
  <c r="Q63" i="166"/>
  <c r="R58" i="166" s="1"/>
  <c r="P40" i="166"/>
  <c r="P63" i="166"/>
  <c r="AF34" i="166"/>
  <c r="AG29" i="166" s="1"/>
  <c r="D2" i="166"/>
  <c r="N12" i="166"/>
  <c r="AD68" i="164"/>
  <c r="Z68" i="164"/>
  <c r="Y68" i="164"/>
  <c r="O68" i="164"/>
  <c r="K68" i="164"/>
  <c r="AF67" i="164"/>
  <c r="AE67" i="164"/>
  <c r="V67" i="164"/>
  <c r="U67" i="164"/>
  <c r="O67" i="164"/>
  <c r="N67" i="164"/>
  <c r="Q67" i="164" s="1"/>
  <c r="M67" i="164"/>
  <c r="K67" i="164"/>
  <c r="G67" i="164"/>
  <c r="V66" i="164"/>
  <c r="U66" i="164"/>
  <c r="O66" i="164"/>
  <c r="M66" i="164"/>
  <c r="K66" i="164"/>
  <c r="G66" i="164"/>
  <c r="AF65" i="164"/>
  <c r="AE65" i="164"/>
  <c r="X65" i="164"/>
  <c r="W65" i="164"/>
  <c r="V65" i="164"/>
  <c r="M65" i="164" s="1"/>
  <c r="N65" i="164" s="1"/>
  <c r="P65" i="164" s="1"/>
  <c r="U65" i="164"/>
  <c r="Q65" i="164"/>
  <c r="O65" i="164"/>
  <c r="K65" i="164"/>
  <c r="G65" i="164"/>
  <c r="V64" i="164"/>
  <c r="U64" i="164"/>
  <c r="O64" i="164"/>
  <c r="N64" i="164"/>
  <c r="Q64" i="164" s="1"/>
  <c r="M64" i="164"/>
  <c r="K64" i="164"/>
  <c r="G64" i="164"/>
  <c r="AF63" i="164"/>
  <c r="AE63" i="164"/>
  <c r="V63" i="164"/>
  <c r="M63" i="164" s="1"/>
  <c r="N63" i="164" s="1"/>
  <c r="U63" i="164"/>
  <c r="O63" i="164"/>
  <c r="K63" i="164"/>
  <c r="G63" i="164"/>
  <c r="AE62" i="164"/>
  <c r="V62" i="164"/>
  <c r="U62" i="164"/>
  <c r="O62" i="164"/>
  <c r="N62" i="164"/>
  <c r="Q62" i="164" s="1"/>
  <c r="M62" i="164"/>
  <c r="AF62" i="164" s="1"/>
  <c r="K62" i="164"/>
  <c r="G62" i="164"/>
  <c r="X61" i="164"/>
  <c r="W61" i="164"/>
  <c r="V61" i="164"/>
  <c r="O61" i="164"/>
  <c r="M61" i="164"/>
  <c r="K61" i="164"/>
  <c r="G61" i="164"/>
  <c r="AD60" i="164"/>
  <c r="Z60" i="164"/>
  <c r="Y60" i="164"/>
  <c r="J18" i="163" s="1"/>
  <c r="O60" i="164"/>
  <c r="K60" i="164"/>
  <c r="V59" i="164"/>
  <c r="U59" i="164"/>
  <c r="O59" i="164"/>
  <c r="N59" i="164"/>
  <c r="M59" i="164"/>
  <c r="K59" i="164"/>
  <c r="G59" i="164"/>
  <c r="AF58" i="164"/>
  <c r="AE58" i="164"/>
  <c r="V58" i="164"/>
  <c r="M58" i="164" s="1"/>
  <c r="N58" i="164" s="1"/>
  <c r="P58" i="164" s="1"/>
  <c r="U58" i="164"/>
  <c r="Q58" i="164"/>
  <c r="O58" i="164"/>
  <c r="K58" i="164"/>
  <c r="G58" i="164"/>
  <c r="V57" i="164"/>
  <c r="U57" i="164"/>
  <c r="O57" i="164"/>
  <c r="N57" i="164"/>
  <c r="Q57" i="164" s="1"/>
  <c r="M57" i="164"/>
  <c r="K57" i="164"/>
  <c r="G57" i="164"/>
  <c r="AF56" i="164"/>
  <c r="AE56" i="164"/>
  <c r="V56" i="164"/>
  <c r="O56" i="164"/>
  <c r="M56" i="164"/>
  <c r="M60" i="164" s="1"/>
  <c r="N60" i="164" s="1"/>
  <c r="J14" i="163" s="1"/>
  <c r="J15" i="163" s="1"/>
  <c r="K56" i="164"/>
  <c r="G56" i="164"/>
  <c r="AD55" i="164"/>
  <c r="Z55" i="164"/>
  <c r="Y55" i="164"/>
  <c r="I18" i="163" s="1"/>
  <c r="O55" i="164"/>
  <c r="M55" i="164"/>
  <c r="AF55" i="164" s="1"/>
  <c r="AG48" i="164" s="1"/>
  <c r="K55" i="164"/>
  <c r="V54" i="164"/>
  <c r="U54" i="164"/>
  <c r="O54" i="164"/>
  <c r="M54" i="164"/>
  <c r="AF54" i="164" s="1"/>
  <c r="K54" i="164"/>
  <c r="G54" i="164"/>
  <c r="AF53" i="164"/>
  <c r="AE53" i="164"/>
  <c r="V53" i="164"/>
  <c r="U53" i="164"/>
  <c r="O53" i="164"/>
  <c r="M53" i="164"/>
  <c r="N53" i="164" s="1"/>
  <c r="K53" i="164"/>
  <c r="G53" i="164"/>
  <c r="V52" i="164"/>
  <c r="U52" i="164"/>
  <c r="O52" i="164"/>
  <c r="M52" i="164"/>
  <c r="K52" i="164"/>
  <c r="G52" i="164"/>
  <c r="AF51" i="164"/>
  <c r="AE51" i="164"/>
  <c r="V51" i="164"/>
  <c r="M51" i="164" s="1"/>
  <c r="N51" i="164" s="1"/>
  <c r="U51" i="164"/>
  <c r="Q51" i="164"/>
  <c r="P51" i="164"/>
  <c r="O51" i="164"/>
  <c r="K51" i="164"/>
  <c r="G51" i="164"/>
  <c r="V50" i="164"/>
  <c r="U50" i="164"/>
  <c r="O50" i="164"/>
  <c r="N50" i="164"/>
  <c r="M50" i="164"/>
  <c r="K50" i="164"/>
  <c r="G50" i="164"/>
  <c r="AF49" i="164"/>
  <c r="AE49" i="164"/>
  <c r="V49" i="164"/>
  <c r="M49" i="164" s="1"/>
  <c r="N49" i="164" s="1"/>
  <c r="P49" i="164" s="1"/>
  <c r="U49" i="164"/>
  <c r="Q49" i="164"/>
  <c r="O49" i="164"/>
  <c r="K49" i="164"/>
  <c r="G49" i="164"/>
  <c r="V48" i="164"/>
  <c r="O48" i="164"/>
  <c r="N48" i="164"/>
  <c r="Q48" i="164" s="1"/>
  <c r="M48" i="164"/>
  <c r="K48" i="164"/>
  <c r="G48" i="164"/>
  <c r="AD47" i="164"/>
  <c r="Z47" i="164"/>
  <c r="Y47" i="164"/>
  <c r="O47" i="164"/>
  <c r="K47" i="164"/>
  <c r="AE46" i="164"/>
  <c r="V46" i="164"/>
  <c r="U46" i="164"/>
  <c r="Q46" i="164"/>
  <c r="P46" i="164"/>
  <c r="O46" i="164"/>
  <c r="N46" i="164"/>
  <c r="M46" i="164"/>
  <c r="AF46" i="164" s="1"/>
  <c r="K46" i="164"/>
  <c r="G46" i="164"/>
  <c r="V45" i="164"/>
  <c r="U45" i="164"/>
  <c r="O45" i="164"/>
  <c r="M45" i="164"/>
  <c r="AF45" i="164" s="1"/>
  <c r="K45" i="164"/>
  <c r="G45" i="164"/>
  <c r="V44" i="164"/>
  <c r="U44" i="164"/>
  <c r="O44" i="164"/>
  <c r="M44" i="164"/>
  <c r="N44" i="164" s="1"/>
  <c r="K44" i="164"/>
  <c r="G44" i="164"/>
  <c r="V43" i="164"/>
  <c r="O43" i="164"/>
  <c r="N43" i="164"/>
  <c r="M43" i="164"/>
  <c r="K43" i="164"/>
  <c r="G43" i="164"/>
  <c r="AD42" i="164"/>
  <c r="Z42" i="164"/>
  <c r="Y42" i="164"/>
  <c r="L18" i="163" s="1"/>
  <c r="O42" i="164"/>
  <c r="K42" i="164"/>
  <c r="V41" i="164"/>
  <c r="U41" i="164"/>
  <c r="P41" i="164"/>
  <c r="O41" i="164"/>
  <c r="N41" i="164"/>
  <c r="Q41" i="164" s="1"/>
  <c r="M41" i="164"/>
  <c r="K41" i="164"/>
  <c r="G41" i="164"/>
  <c r="AF40" i="164"/>
  <c r="AE40" i="164"/>
  <c r="V40" i="164"/>
  <c r="M40" i="164" s="1"/>
  <c r="N40" i="164" s="1"/>
  <c r="U40" i="164"/>
  <c r="O40" i="164"/>
  <c r="K40" i="164"/>
  <c r="G40" i="164"/>
  <c r="X39" i="164"/>
  <c r="W39" i="164"/>
  <c r="V39" i="164"/>
  <c r="U39" i="164"/>
  <c r="O39" i="164"/>
  <c r="M39" i="164"/>
  <c r="N39" i="164" s="1"/>
  <c r="K39" i="164"/>
  <c r="G39" i="164"/>
  <c r="V38" i="164"/>
  <c r="U38" i="164"/>
  <c r="O38" i="164"/>
  <c r="M38" i="164"/>
  <c r="AF38" i="164" s="1"/>
  <c r="K38" i="164"/>
  <c r="G38" i="164"/>
  <c r="AF37" i="164"/>
  <c r="AE37" i="164"/>
  <c r="V37" i="164"/>
  <c r="U37" i="164"/>
  <c r="O37" i="164"/>
  <c r="M37" i="164"/>
  <c r="N37" i="164" s="1"/>
  <c r="K37" i="164"/>
  <c r="G37" i="164"/>
  <c r="V36" i="164"/>
  <c r="U36" i="164"/>
  <c r="O36" i="164"/>
  <c r="M36" i="164"/>
  <c r="K36" i="164"/>
  <c r="G36" i="164"/>
  <c r="AF35" i="164"/>
  <c r="AE35" i="164"/>
  <c r="X35" i="164"/>
  <c r="W35" i="164"/>
  <c r="V35" i="164"/>
  <c r="M35" i="164" s="1"/>
  <c r="O35" i="164"/>
  <c r="K35" i="164"/>
  <c r="G35" i="164"/>
  <c r="AD34" i="164"/>
  <c r="Z34" i="164"/>
  <c r="Y34" i="164"/>
  <c r="K18" i="163" s="1"/>
  <c r="O34" i="164"/>
  <c r="K34" i="164"/>
  <c r="AF33" i="164"/>
  <c r="AE33" i="164"/>
  <c r="V33" i="164"/>
  <c r="U33" i="164"/>
  <c r="O33" i="164"/>
  <c r="M33" i="164"/>
  <c r="N33" i="164" s="1"/>
  <c r="K33" i="164"/>
  <c r="G33" i="164"/>
  <c r="V32" i="164"/>
  <c r="U32" i="164"/>
  <c r="O32" i="164"/>
  <c r="M32" i="164"/>
  <c r="AF32" i="164" s="1"/>
  <c r="K32" i="164"/>
  <c r="G32" i="164"/>
  <c r="X31" i="164"/>
  <c r="W31" i="164"/>
  <c r="V31" i="164"/>
  <c r="U31" i="164"/>
  <c r="O31" i="164"/>
  <c r="N31" i="164"/>
  <c r="M31" i="164"/>
  <c r="K31" i="164"/>
  <c r="G31" i="164"/>
  <c r="AF30" i="164"/>
  <c r="AE30" i="164"/>
  <c r="V30" i="164"/>
  <c r="M30" i="164" s="1"/>
  <c r="N30" i="164" s="1"/>
  <c r="U30" i="164"/>
  <c r="Q30" i="164"/>
  <c r="P30" i="164"/>
  <c r="O30" i="164"/>
  <c r="K30" i="164"/>
  <c r="G30" i="164"/>
  <c r="V29" i="164"/>
  <c r="U29" i="164"/>
  <c r="O29" i="164"/>
  <c r="N29" i="164"/>
  <c r="M29" i="164"/>
  <c r="K29" i="164"/>
  <c r="G29" i="164"/>
  <c r="AF28" i="164"/>
  <c r="AE28" i="164"/>
  <c r="V28" i="164"/>
  <c r="M28" i="164" s="1"/>
  <c r="N28" i="164" s="1"/>
  <c r="P28" i="164" s="1"/>
  <c r="U28" i="164"/>
  <c r="Q28" i="164"/>
  <c r="O28" i="164"/>
  <c r="K28" i="164"/>
  <c r="G28" i="164"/>
  <c r="X27" i="164"/>
  <c r="W27" i="164"/>
  <c r="V27" i="164"/>
  <c r="O27" i="164"/>
  <c r="M27" i="164"/>
  <c r="M34" i="164" s="1"/>
  <c r="N34" i="164" s="1"/>
  <c r="K27" i="164"/>
  <c r="G27" i="164"/>
  <c r="AD26" i="164"/>
  <c r="Z26" i="164"/>
  <c r="Y26" i="164"/>
  <c r="O26" i="164"/>
  <c r="K26" i="164"/>
  <c r="V25" i="164"/>
  <c r="U25" i="164"/>
  <c r="O25" i="164"/>
  <c r="M25" i="164"/>
  <c r="N25" i="164" s="1"/>
  <c r="K25" i="164"/>
  <c r="G25" i="164"/>
  <c r="V24" i="164"/>
  <c r="U24" i="164"/>
  <c r="O24" i="164"/>
  <c r="M24" i="164"/>
  <c r="K24" i="164"/>
  <c r="G24" i="164"/>
  <c r="AF23" i="164"/>
  <c r="AE23" i="164"/>
  <c r="V23" i="164"/>
  <c r="M23" i="164" s="1"/>
  <c r="N23" i="164" s="1"/>
  <c r="U23" i="164"/>
  <c r="Q23" i="164"/>
  <c r="P23" i="164"/>
  <c r="O23" i="164"/>
  <c r="K23" i="164"/>
  <c r="G23" i="164"/>
  <c r="V22" i="164"/>
  <c r="U22" i="164"/>
  <c r="P22" i="164"/>
  <c r="O22" i="164"/>
  <c r="N22" i="164"/>
  <c r="Q22" i="164" s="1"/>
  <c r="M22" i="164"/>
  <c r="K22" i="164"/>
  <c r="G22" i="164"/>
  <c r="AF21" i="164"/>
  <c r="AE21" i="164"/>
  <c r="V21" i="164"/>
  <c r="M21" i="164" s="1"/>
  <c r="N21" i="164" s="1"/>
  <c r="P21" i="164" s="1"/>
  <c r="U21" i="164"/>
  <c r="Q21" i="164"/>
  <c r="O21" i="164"/>
  <c r="K21" i="164"/>
  <c r="G21" i="164"/>
  <c r="V20" i="164"/>
  <c r="O20" i="164"/>
  <c r="M20" i="164"/>
  <c r="N20" i="164" s="1"/>
  <c r="K20" i="164"/>
  <c r="G20" i="164"/>
  <c r="AD19" i="164"/>
  <c r="Z19" i="164"/>
  <c r="Y19" i="164"/>
  <c r="O19" i="164"/>
  <c r="K19" i="164"/>
  <c r="AF18" i="164"/>
  <c r="AE18" i="164"/>
  <c r="V18" i="164"/>
  <c r="U18" i="164"/>
  <c r="Q18" i="164"/>
  <c r="P18" i="164"/>
  <c r="O18" i="164"/>
  <c r="N18" i="164"/>
  <c r="M18" i="164"/>
  <c r="K18" i="164"/>
  <c r="G18" i="164"/>
  <c r="V17" i="164"/>
  <c r="U17" i="164"/>
  <c r="O17" i="164"/>
  <c r="M17" i="164"/>
  <c r="AF17" i="164" s="1"/>
  <c r="K17" i="164"/>
  <c r="G17" i="164"/>
  <c r="AF16" i="164"/>
  <c r="AE16" i="164"/>
  <c r="V16" i="164"/>
  <c r="U16" i="164"/>
  <c r="O16" i="164"/>
  <c r="N16" i="164"/>
  <c r="Q16" i="164" s="1"/>
  <c r="M16" i="164"/>
  <c r="K16" i="164"/>
  <c r="G16" i="164"/>
  <c r="V15" i="164"/>
  <c r="U15" i="164"/>
  <c r="O15" i="164"/>
  <c r="N15" i="164"/>
  <c r="M15" i="164"/>
  <c r="K15" i="164"/>
  <c r="G15" i="164"/>
  <c r="AF14" i="164"/>
  <c r="AE14" i="164"/>
  <c r="V14" i="164"/>
  <c r="M14" i="164" s="1"/>
  <c r="N14" i="164" s="1"/>
  <c r="U14" i="164"/>
  <c r="Q14" i="164"/>
  <c r="P14" i="164"/>
  <c r="O14" i="164"/>
  <c r="K14" i="164"/>
  <c r="G14" i="164"/>
  <c r="V13" i="164"/>
  <c r="U13" i="164"/>
  <c r="P13" i="164"/>
  <c r="O13" i="164"/>
  <c r="N13" i="164"/>
  <c r="Q13" i="164" s="1"/>
  <c r="M13" i="164"/>
  <c r="K13" i="164"/>
  <c r="G13" i="164"/>
  <c r="AF12" i="164"/>
  <c r="AE12" i="164"/>
  <c r="X12" i="164"/>
  <c r="W12" i="164"/>
  <c r="V12" i="164"/>
  <c r="O12" i="164"/>
  <c r="M12" i="164"/>
  <c r="N12" i="164" s="1"/>
  <c r="K12" i="164"/>
  <c r="G12" i="164"/>
  <c r="AD11" i="164"/>
  <c r="Z11" i="164"/>
  <c r="Y11" i="164"/>
  <c r="E18" i="163" s="1"/>
  <c r="O11" i="164"/>
  <c r="K11" i="164"/>
  <c r="V10" i="164"/>
  <c r="U10" i="164"/>
  <c r="O10" i="164"/>
  <c r="M10" i="164"/>
  <c r="AF10" i="164" s="1"/>
  <c r="K10" i="164"/>
  <c r="G10" i="164"/>
  <c r="AF9" i="164"/>
  <c r="AE9" i="164"/>
  <c r="V9" i="164"/>
  <c r="U9" i="164"/>
  <c r="O9" i="164"/>
  <c r="M9" i="164"/>
  <c r="N9" i="164" s="1"/>
  <c r="K9" i="164"/>
  <c r="G9" i="164"/>
  <c r="X8" i="164"/>
  <c r="W8" i="164"/>
  <c r="V8" i="164"/>
  <c r="O8" i="164"/>
  <c r="N8" i="164"/>
  <c r="P8" i="164" s="1"/>
  <c r="M8" i="164"/>
  <c r="K8" i="164"/>
  <c r="G8" i="164"/>
  <c r="AD7" i="164"/>
  <c r="Z7" i="164"/>
  <c r="Y7" i="164"/>
  <c r="O7" i="164"/>
  <c r="K7" i="164"/>
  <c r="V6" i="164"/>
  <c r="U6" i="164"/>
  <c r="Q6" i="164"/>
  <c r="P6" i="164"/>
  <c r="O6" i="164"/>
  <c r="N6" i="164"/>
  <c r="M6" i="164"/>
  <c r="K6" i="164"/>
  <c r="G6" i="164"/>
  <c r="AF5" i="164"/>
  <c r="V5" i="164"/>
  <c r="O5" i="164"/>
  <c r="N5" i="164"/>
  <c r="Q5" i="164" s="1"/>
  <c r="M5" i="164"/>
  <c r="AE5" i="164" s="1"/>
  <c r="K5" i="164"/>
  <c r="G5" i="164"/>
  <c r="AD2" i="164"/>
  <c r="N6" i="163" s="1"/>
  <c r="Z2" i="164"/>
  <c r="Y2" i="164"/>
  <c r="H2" i="164"/>
  <c r="F2" i="164"/>
  <c r="H1" i="164"/>
  <c r="F1" i="164"/>
  <c r="D1" i="164"/>
  <c r="M22" i="163"/>
  <c r="L22" i="163"/>
  <c r="K22" i="163"/>
  <c r="J22" i="163"/>
  <c r="I22" i="163"/>
  <c r="H22" i="163"/>
  <c r="G22" i="163"/>
  <c r="F22" i="163"/>
  <c r="E22" i="163"/>
  <c r="D22" i="163"/>
  <c r="M21" i="163"/>
  <c r="L21" i="163"/>
  <c r="K21" i="163"/>
  <c r="J21" i="163"/>
  <c r="I21" i="163"/>
  <c r="H21" i="163"/>
  <c r="G21" i="163"/>
  <c r="F21" i="163"/>
  <c r="E21" i="163"/>
  <c r="D21" i="163"/>
  <c r="M20" i="163"/>
  <c r="L20" i="163"/>
  <c r="K20" i="163"/>
  <c r="J20" i="163"/>
  <c r="I20" i="163"/>
  <c r="H20" i="163"/>
  <c r="G20" i="163"/>
  <c r="F20" i="163"/>
  <c r="E20" i="163"/>
  <c r="D20" i="163"/>
  <c r="M19" i="163"/>
  <c r="L19" i="163"/>
  <c r="K19" i="163"/>
  <c r="J19" i="163"/>
  <c r="I19" i="163"/>
  <c r="H19" i="163"/>
  <c r="G19" i="163"/>
  <c r="F19" i="163"/>
  <c r="E19" i="163"/>
  <c r="D19" i="163"/>
  <c r="M18" i="163"/>
  <c r="H18" i="163"/>
  <c r="G18" i="163"/>
  <c r="F18" i="163"/>
  <c r="D18" i="163"/>
  <c r="M17" i="163"/>
  <c r="L17" i="163"/>
  <c r="K17" i="163"/>
  <c r="J17" i="163"/>
  <c r="I17" i="163"/>
  <c r="H17" i="163"/>
  <c r="G17" i="163"/>
  <c r="F17" i="163"/>
  <c r="E17" i="163"/>
  <c r="D17" i="163"/>
  <c r="M16" i="163"/>
  <c r="L16" i="163"/>
  <c r="K16" i="163"/>
  <c r="J16" i="163"/>
  <c r="I16" i="163"/>
  <c r="H16" i="163"/>
  <c r="G16" i="163"/>
  <c r="F16" i="163"/>
  <c r="E16" i="163"/>
  <c r="D16" i="163"/>
  <c r="M13" i="163"/>
  <c r="L13" i="163"/>
  <c r="K13" i="163"/>
  <c r="J13" i="163"/>
  <c r="I13" i="163"/>
  <c r="H13" i="163"/>
  <c r="G13" i="163"/>
  <c r="E6" i="163" s="1"/>
  <c r="F13" i="163"/>
  <c r="E13" i="163"/>
  <c r="D13" i="163"/>
  <c r="M6" i="163"/>
  <c r="L6" i="163"/>
  <c r="K6" i="163"/>
  <c r="I6" i="163"/>
  <c r="G6" i="163"/>
  <c r="F6" i="163"/>
  <c r="I3" i="163"/>
  <c r="F3" i="163"/>
  <c r="C3" i="163"/>
  <c r="G7" i="169" l="1"/>
  <c r="F7" i="169"/>
  <c r="E7" i="169"/>
  <c r="D15" i="169"/>
  <c r="K15" i="169"/>
  <c r="I8" i="169" s="1"/>
  <c r="I7" i="169"/>
  <c r="D14" i="167"/>
  <c r="P7" i="168"/>
  <c r="D2" i="168"/>
  <c r="Q7" i="168"/>
  <c r="R5" i="168" s="1"/>
  <c r="G14" i="167"/>
  <c r="G15" i="167" s="1"/>
  <c r="Q29" i="168"/>
  <c r="R24" i="168" s="1"/>
  <c r="P29" i="168"/>
  <c r="P56" i="168"/>
  <c r="I14" i="167"/>
  <c r="I15" i="167" s="1"/>
  <c r="Q56" i="168"/>
  <c r="R49" i="168" s="1"/>
  <c r="E14" i="167"/>
  <c r="E15" i="167" s="1"/>
  <c r="Q13" i="168"/>
  <c r="R8" i="168" s="1"/>
  <c r="P13" i="168"/>
  <c r="H14" i="167"/>
  <c r="H15" i="167" s="1"/>
  <c r="Q48" i="168"/>
  <c r="R44" i="168" s="1"/>
  <c r="P48" i="168"/>
  <c r="J14" i="167"/>
  <c r="J15" i="167" s="1"/>
  <c r="Q61" i="168"/>
  <c r="R57" i="168" s="1"/>
  <c r="P61" i="168"/>
  <c r="Q36" i="168"/>
  <c r="R30" i="168" s="1"/>
  <c r="K14" i="167"/>
  <c r="P36" i="168"/>
  <c r="M14" i="167"/>
  <c r="M15" i="167" s="1"/>
  <c r="Q68" i="168"/>
  <c r="R62" i="168" s="1"/>
  <c r="P68" i="168"/>
  <c r="Q43" i="168"/>
  <c r="R37" i="168" s="1"/>
  <c r="L14" i="167"/>
  <c r="L15" i="167" s="1"/>
  <c r="P43" i="168"/>
  <c r="F14" i="167"/>
  <c r="F15" i="167" s="1"/>
  <c r="Q23" i="168"/>
  <c r="R14" i="168" s="1"/>
  <c r="P23" i="168"/>
  <c r="P21" i="166"/>
  <c r="F14" i="165"/>
  <c r="Q21" i="166"/>
  <c r="R12" i="166" s="1"/>
  <c r="I7" i="165"/>
  <c r="K15" i="165"/>
  <c r="I8" i="165" s="1"/>
  <c r="Q12" i="166"/>
  <c r="P12" i="166"/>
  <c r="K14" i="163"/>
  <c r="P34" i="164"/>
  <c r="Q34" i="164"/>
  <c r="R27" i="164" s="1"/>
  <c r="Q39" i="164"/>
  <c r="P39" i="164"/>
  <c r="Q25" i="164"/>
  <c r="P25" i="164"/>
  <c r="P9" i="164"/>
  <c r="Q9" i="164"/>
  <c r="Q44" i="164"/>
  <c r="P44" i="164"/>
  <c r="P53" i="164"/>
  <c r="Q53" i="164"/>
  <c r="Q20" i="164"/>
  <c r="P20" i="164"/>
  <c r="Q37" i="164"/>
  <c r="P37" i="164"/>
  <c r="AE25" i="164"/>
  <c r="AE32" i="164"/>
  <c r="P16" i="164"/>
  <c r="AF44" i="164"/>
  <c r="P64" i="164"/>
  <c r="P67" i="164"/>
  <c r="Q8" i="164"/>
  <c r="N27" i="164"/>
  <c r="P48" i="164"/>
  <c r="AE55" i="164"/>
  <c r="AE44" i="164"/>
  <c r="AF25" i="164"/>
  <c r="N55" i="164"/>
  <c r="P57" i="164"/>
  <c r="P60" i="164"/>
  <c r="P62" i="164"/>
  <c r="Q60" i="164"/>
  <c r="R56" i="164" s="1"/>
  <c r="AE60" i="164"/>
  <c r="M11" i="164"/>
  <c r="AF60" i="164"/>
  <c r="AG56" i="164" s="1"/>
  <c r="N32" i="164"/>
  <c r="M7" i="164"/>
  <c r="AE6" i="164"/>
  <c r="AF6" i="164"/>
  <c r="AF8" i="164"/>
  <c r="AE8" i="164"/>
  <c r="Q12" i="164"/>
  <c r="P12" i="164"/>
  <c r="AE13" i="164"/>
  <c r="AF13" i="164"/>
  <c r="AF15" i="164"/>
  <c r="AE15" i="164"/>
  <c r="Q15" i="164"/>
  <c r="P15" i="164"/>
  <c r="M26" i="164"/>
  <c r="AF20" i="164"/>
  <c r="AE20" i="164"/>
  <c r="AE22" i="164"/>
  <c r="AF22" i="164"/>
  <c r="AE24" i="164"/>
  <c r="N24" i="164"/>
  <c r="AF24" i="164"/>
  <c r="AF27" i="164"/>
  <c r="AE27" i="164"/>
  <c r="AE29" i="164"/>
  <c r="AF29" i="164"/>
  <c r="P29" i="164"/>
  <c r="Q29" i="164"/>
  <c r="AF31" i="164"/>
  <c r="AE31" i="164"/>
  <c r="Q31" i="164"/>
  <c r="P31" i="164"/>
  <c r="P33" i="164"/>
  <c r="Q33" i="164"/>
  <c r="AF34" i="164"/>
  <c r="AG27" i="164" s="1"/>
  <c r="AE34" i="164"/>
  <c r="M42" i="164"/>
  <c r="N35" i="164"/>
  <c r="AE36" i="164"/>
  <c r="N36" i="164"/>
  <c r="AF36" i="164"/>
  <c r="AF39" i="164"/>
  <c r="AE39" i="164"/>
  <c r="Q40" i="164"/>
  <c r="P40" i="164"/>
  <c r="AE41" i="164"/>
  <c r="AF41" i="164"/>
  <c r="AF43" i="164"/>
  <c r="AE43" i="164"/>
  <c r="M47" i="164"/>
  <c r="Q43" i="164"/>
  <c r="P43" i="164"/>
  <c r="AF48" i="164"/>
  <c r="AE48" i="164"/>
  <c r="AE50" i="164"/>
  <c r="AF50" i="164"/>
  <c r="P50" i="164"/>
  <c r="Q50" i="164"/>
  <c r="N52" i="164"/>
  <c r="AF52" i="164"/>
  <c r="AE52" i="164"/>
  <c r="AF57" i="164"/>
  <c r="AE57" i="164"/>
  <c r="AF59" i="164"/>
  <c r="AE59" i="164"/>
  <c r="P59" i="164"/>
  <c r="Q59" i="164"/>
  <c r="AF61" i="164"/>
  <c r="M68" i="164"/>
  <c r="N61" i="164"/>
  <c r="AE61" i="164"/>
  <c r="Q63" i="164"/>
  <c r="P63" i="164"/>
  <c r="AF64" i="164"/>
  <c r="AE64" i="164"/>
  <c r="AE66" i="164"/>
  <c r="N66" i="164"/>
  <c r="AF66" i="164"/>
  <c r="N10" i="164"/>
  <c r="N17" i="164"/>
  <c r="M19" i="164"/>
  <c r="N38" i="164"/>
  <c r="N45" i="164"/>
  <c r="N54" i="164"/>
  <c r="N56" i="164"/>
  <c r="AE10" i="164"/>
  <c r="AE17" i="164"/>
  <c r="AE38" i="164"/>
  <c r="AE45" i="164"/>
  <c r="AE54" i="164"/>
  <c r="P5" i="164"/>
  <c r="G8" i="169" l="1"/>
  <c r="F8" i="169"/>
  <c r="E8" i="169"/>
  <c r="K15" i="167"/>
  <c r="I8" i="167" s="1"/>
  <c r="I7" i="167"/>
  <c r="G7" i="167"/>
  <c r="F7" i="167"/>
  <c r="E7" i="167"/>
  <c r="D15" i="167"/>
  <c r="F15" i="165"/>
  <c r="G7" i="165"/>
  <c r="E7" i="165"/>
  <c r="F7" i="165"/>
  <c r="N7" i="164"/>
  <c r="AF7" i="164"/>
  <c r="AG5" i="164" s="1"/>
  <c r="AE7" i="164"/>
  <c r="K15" i="163"/>
  <c r="Q32" i="164"/>
  <c r="P32" i="164"/>
  <c r="N42" i="164"/>
  <c r="Q42" i="164" s="1"/>
  <c r="R35" i="164" s="1"/>
  <c r="AF42" i="164"/>
  <c r="AG35" i="164" s="1"/>
  <c r="AE42" i="164"/>
  <c r="AE11" i="164"/>
  <c r="N11" i="164"/>
  <c r="AF11" i="164"/>
  <c r="AG8" i="164" s="1"/>
  <c r="N47" i="164"/>
  <c r="P47" i="164" s="1"/>
  <c r="AF47" i="164"/>
  <c r="AG43" i="164" s="1"/>
  <c r="AE47" i="164"/>
  <c r="I14" i="163"/>
  <c r="I15" i="163" s="1"/>
  <c r="Q55" i="164"/>
  <c r="R48" i="164" s="1"/>
  <c r="P55" i="164"/>
  <c r="Q27" i="164"/>
  <c r="P27" i="164"/>
  <c r="N19" i="164"/>
  <c r="AE19" i="164"/>
  <c r="AF19" i="164"/>
  <c r="AG12" i="164" s="1"/>
  <c r="P56" i="164"/>
  <c r="Q56" i="164"/>
  <c r="Q54" i="164"/>
  <c r="P54" i="164"/>
  <c r="Q45" i="164"/>
  <c r="P45" i="164"/>
  <c r="Q38" i="164"/>
  <c r="P38" i="164"/>
  <c r="Q19" i="164"/>
  <c r="R12" i="164" s="1"/>
  <c r="P19" i="164"/>
  <c r="F14" i="163"/>
  <c r="F15" i="163" s="1"/>
  <c r="Q17" i="164"/>
  <c r="P17" i="164"/>
  <c r="Q10" i="164"/>
  <c r="P10" i="164"/>
  <c r="Q66" i="164"/>
  <c r="P66" i="164"/>
  <c r="Q61" i="164"/>
  <c r="P61" i="164"/>
  <c r="AF68" i="164"/>
  <c r="AG61" i="164" s="1"/>
  <c r="AE68" i="164"/>
  <c r="N68" i="164"/>
  <c r="M14" i="163" s="1"/>
  <c r="M15" i="163" s="1"/>
  <c r="Q52" i="164"/>
  <c r="P52" i="164"/>
  <c r="H14" i="163"/>
  <c r="H15" i="163" s="1"/>
  <c r="Q36" i="164"/>
  <c r="P36" i="164"/>
  <c r="Q35" i="164"/>
  <c r="P35" i="164"/>
  <c r="P42" i="164"/>
  <c r="L14" i="163"/>
  <c r="L15" i="163" s="1"/>
  <c r="Q24" i="164"/>
  <c r="P24" i="164"/>
  <c r="AF26" i="164"/>
  <c r="AG20" i="164" s="1"/>
  <c r="N26" i="164"/>
  <c r="AE26" i="164"/>
  <c r="Q7" i="164"/>
  <c r="R5" i="164" s="1"/>
  <c r="D14" i="163"/>
  <c r="D15" i="163" s="1"/>
  <c r="P7" i="164"/>
  <c r="G8" i="167" l="1"/>
  <c r="E8" i="167"/>
  <c r="F8" i="167"/>
  <c r="F8" i="165"/>
  <c r="E8" i="165"/>
  <c r="G8" i="165"/>
  <c r="Q47" i="164"/>
  <c r="R43" i="164" s="1"/>
  <c r="E14" i="163"/>
  <c r="E15" i="163" s="1"/>
  <c r="E8" i="163" s="1"/>
  <c r="Q11" i="164"/>
  <c r="R8" i="164" s="1"/>
  <c r="P11" i="164"/>
  <c r="I8" i="163"/>
  <c r="I7" i="163"/>
  <c r="D2" i="164"/>
  <c r="Q26" i="164"/>
  <c r="R20" i="164" s="1"/>
  <c r="P26" i="164"/>
  <c r="G14" i="163"/>
  <c r="G15" i="163" s="1"/>
  <c r="P68" i="164"/>
  <c r="Q68" i="164"/>
  <c r="R61" i="164" s="1"/>
  <c r="E7" i="163" l="1"/>
  <c r="G7" i="163"/>
  <c r="F8" i="163"/>
  <c r="G8" i="163"/>
  <c r="F7" i="163"/>
  <c r="AD71" i="162" l="1"/>
  <c r="Z71" i="162"/>
  <c r="Y71" i="162"/>
  <c r="O71" i="162"/>
  <c r="K71" i="162"/>
  <c r="AF70" i="162"/>
  <c r="AE70" i="162"/>
  <c r="V70" i="162"/>
  <c r="U70" i="162"/>
  <c r="O70" i="162"/>
  <c r="N70" i="162"/>
  <c r="Q70" i="162" s="1"/>
  <c r="M70" i="162"/>
  <c r="K70" i="162"/>
  <c r="G70" i="162"/>
  <c r="V69" i="162"/>
  <c r="U69" i="162"/>
  <c r="O69" i="162"/>
  <c r="N69" i="162"/>
  <c r="P69" i="162" s="1"/>
  <c r="M69" i="162"/>
  <c r="K69" i="162"/>
  <c r="G69" i="162"/>
  <c r="AF68" i="162"/>
  <c r="AE68" i="162"/>
  <c r="X68" i="162"/>
  <c r="W68" i="162"/>
  <c r="V68" i="162"/>
  <c r="M68" i="162" s="1"/>
  <c r="N68" i="162" s="1"/>
  <c r="P68" i="162" s="1"/>
  <c r="U68" i="162"/>
  <c r="Q68" i="162"/>
  <c r="O68" i="162"/>
  <c r="K68" i="162"/>
  <c r="G68" i="162"/>
  <c r="V67" i="162"/>
  <c r="U67" i="162"/>
  <c r="O67" i="162"/>
  <c r="M67" i="162"/>
  <c r="AE67" i="162" s="1"/>
  <c r="K67" i="162"/>
  <c r="G67" i="162"/>
  <c r="AF66" i="162"/>
  <c r="AE66" i="162"/>
  <c r="V66" i="162"/>
  <c r="U66" i="162"/>
  <c r="O66" i="162"/>
  <c r="M66" i="162"/>
  <c r="N66" i="162" s="1"/>
  <c r="K66" i="162"/>
  <c r="G66" i="162"/>
  <c r="AF65" i="162"/>
  <c r="AE65" i="162"/>
  <c r="V65" i="162"/>
  <c r="U65" i="162"/>
  <c r="O65" i="162"/>
  <c r="M65" i="162"/>
  <c r="N65" i="162" s="1"/>
  <c r="K65" i="162"/>
  <c r="G65" i="162"/>
  <c r="X64" i="162"/>
  <c r="W64" i="162"/>
  <c r="V64" i="162"/>
  <c r="O64" i="162"/>
  <c r="N64" i="162"/>
  <c r="P64" i="162" s="1"/>
  <c r="M64" i="162"/>
  <c r="K64" i="162"/>
  <c r="G64" i="162"/>
  <c r="AF63" i="162"/>
  <c r="AE63" i="162"/>
  <c r="AD63" i="162"/>
  <c r="Z63" i="162"/>
  <c r="Y63" i="162"/>
  <c r="Q63" i="162"/>
  <c r="R59" i="162" s="1"/>
  <c r="P63" i="162"/>
  <c r="O63" i="162"/>
  <c r="K63" i="162"/>
  <c r="AE62" i="162"/>
  <c r="V62" i="162"/>
  <c r="U62" i="162"/>
  <c r="O62" i="162"/>
  <c r="N62" i="162"/>
  <c r="P62" i="162" s="1"/>
  <c r="M62" i="162"/>
  <c r="AF62" i="162" s="1"/>
  <c r="K62" i="162"/>
  <c r="G62" i="162"/>
  <c r="AF61" i="162"/>
  <c r="AE61" i="162"/>
  <c r="V61" i="162"/>
  <c r="M61" i="162" s="1"/>
  <c r="N61" i="162" s="1"/>
  <c r="P61" i="162" s="1"/>
  <c r="U61" i="162"/>
  <c r="Q61" i="162"/>
  <c r="O61" i="162"/>
  <c r="K61" i="162"/>
  <c r="G61" i="162"/>
  <c r="AF60" i="162"/>
  <c r="V60" i="162"/>
  <c r="U60" i="162"/>
  <c r="O60" i="162"/>
  <c r="N60" i="162"/>
  <c r="Q60" i="162" s="1"/>
  <c r="M60" i="162"/>
  <c r="AE60" i="162" s="1"/>
  <c r="K60" i="162"/>
  <c r="G60" i="162"/>
  <c r="AG59" i="162"/>
  <c r="AF59" i="162"/>
  <c r="AE59" i="162"/>
  <c r="V59" i="162"/>
  <c r="O59" i="162"/>
  <c r="N59" i="162"/>
  <c r="M59" i="162"/>
  <c r="M63" i="162" s="1"/>
  <c r="N63" i="162" s="1"/>
  <c r="K59" i="162"/>
  <c r="G59" i="162"/>
  <c r="AD58" i="162"/>
  <c r="Z58" i="162"/>
  <c r="Y58" i="162"/>
  <c r="I18" i="161" s="1"/>
  <c r="O58" i="162"/>
  <c r="M58" i="162"/>
  <c r="AF58" i="162" s="1"/>
  <c r="AG51" i="162" s="1"/>
  <c r="K58" i="162"/>
  <c r="V57" i="162"/>
  <c r="U57" i="162"/>
  <c r="O57" i="162"/>
  <c r="M57" i="162"/>
  <c r="K57" i="162"/>
  <c r="G57" i="162"/>
  <c r="AF56" i="162"/>
  <c r="AE56" i="162"/>
  <c r="V56" i="162"/>
  <c r="U56" i="162"/>
  <c r="O56" i="162"/>
  <c r="N56" i="162"/>
  <c r="Q56" i="162" s="1"/>
  <c r="M56" i="162"/>
  <c r="K56" i="162"/>
  <c r="G56" i="162"/>
  <c r="V55" i="162"/>
  <c r="U55" i="162"/>
  <c r="O55" i="162"/>
  <c r="N55" i="162"/>
  <c r="P55" i="162" s="1"/>
  <c r="M55" i="162"/>
  <c r="K55" i="162"/>
  <c r="G55" i="162"/>
  <c r="AF54" i="162"/>
  <c r="AE54" i="162"/>
  <c r="V54" i="162"/>
  <c r="M54" i="162" s="1"/>
  <c r="N54" i="162" s="1"/>
  <c r="U54" i="162"/>
  <c r="Q54" i="162"/>
  <c r="P54" i="162"/>
  <c r="O54" i="162"/>
  <c r="K54" i="162"/>
  <c r="G54" i="162"/>
  <c r="AE53" i="162"/>
  <c r="V53" i="162"/>
  <c r="U53" i="162"/>
  <c r="O53" i="162"/>
  <c r="N53" i="162"/>
  <c r="P53" i="162" s="1"/>
  <c r="M53" i="162"/>
  <c r="AF53" i="162" s="1"/>
  <c r="K53" i="162"/>
  <c r="G53" i="162"/>
  <c r="AF52" i="162"/>
  <c r="AE52" i="162"/>
  <c r="V52" i="162"/>
  <c r="M52" i="162" s="1"/>
  <c r="N52" i="162" s="1"/>
  <c r="P52" i="162" s="1"/>
  <c r="U52" i="162"/>
  <c r="Q52" i="162"/>
  <c r="O52" i="162"/>
  <c r="K52" i="162"/>
  <c r="G52" i="162"/>
  <c r="AE51" i="162"/>
  <c r="V51" i="162"/>
  <c r="O51" i="162"/>
  <c r="N51" i="162"/>
  <c r="P51" i="162" s="1"/>
  <c r="M51" i="162"/>
  <c r="AF51" i="162" s="1"/>
  <c r="K51" i="162"/>
  <c r="G51" i="162"/>
  <c r="AD50" i="162"/>
  <c r="Z50" i="162"/>
  <c r="Y50" i="162"/>
  <c r="H18" i="161" s="1"/>
  <c r="O50" i="162"/>
  <c r="K50" i="162"/>
  <c r="AF49" i="162"/>
  <c r="AE49" i="162"/>
  <c r="V49" i="162"/>
  <c r="U49" i="162"/>
  <c r="O49" i="162"/>
  <c r="N49" i="162"/>
  <c r="Q49" i="162" s="1"/>
  <c r="M49" i="162"/>
  <c r="K49" i="162"/>
  <c r="G49" i="162"/>
  <c r="V48" i="162"/>
  <c r="U48" i="162"/>
  <c r="O48" i="162"/>
  <c r="M48" i="162"/>
  <c r="K48" i="162"/>
  <c r="G48" i="162"/>
  <c r="AF47" i="162"/>
  <c r="AE47" i="162"/>
  <c r="V47" i="162"/>
  <c r="U47" i="162"/>
  <c r="Q47" i="162"/>
  <c r="P47" i="162"/>
  <c r="O47" i="162"/>
  <c r="N47" i="162"/>
  <c r="M47" i="162"/>
  <c r="K47" i="162"/>
  <c r="G47" i="162"/>
  <c r="V46" i="162"/>
  <c r="O46" i="162"/>
  <c r="M46" i="162"/>
  <c r="N46" i="162" s="1"/>
  <c r="K46" i="162"/>
  <c r="G46" i="162"/>
  <c r="AD45" i="162"/>
  <c r="L21" i="161" s="1"/>
  <c r="Z45" i="162"/>
  <c r="L19" i="161" s="1"/>
  <c r="Y45" i="162"/>
  <c r="O45" i="162"/>
  <c r="K45" i="162"/>
  <c r="AF44" i="162"/>
  <c r="AE44" i="162"/>
  <c r="V44" i="162"/>
  <c r="U44" i="162"/>
  <c r="Q44" i="162"/>
  <c r="P44" i="162"/>
  <c r="O44" i="162"/>
  <c r="N44" i="162"/>
  <c r="M44" i="162"/>
  <c r="K44" i="162"/>
  <c r="G44" i="162"/>
  <c r="AF43" i="162"/>
  <c r="AE43" i="162"/>
  <c r="V43" i="162"/>
  <c r="M43" i="162" s="1"/>
  <c r="N43" i="162" s="1"/>
  <c r="U43" i="162"/>
  <c r="O43" i="162"/>
  <c r="K43" i="162"/>
  <c r="G43" i="162"/>
  <c r="AE42" i="162"/>
  <c r="X42" i="162"/>
  <c r="W42" i="162"/>
  <c r="V42" i="162"/>
  <c r="U42" i="162"/>
  <c r="Q42" i="162"/>
  <c r="P42" i="162"/>
  <c r="O42" i="162"/>
  <c r="N42" i="162"/>
  <c r="M42" i="162"/>
  <c r="AF42" i="162" s="1"/>
  <c r="K42" i="162"/>
  <c r="G42" i="162"/>
  <c r="V41" i="162"/>
  <c r="U41" i="162"/>
  <c r="O41" i="162"/>
  <c r="M41" i="162"/>
  <c r="K41" i="162"/>
  <c r="G41" i="162"/>
  <c r="AF40" i="162"/>
  <c r="AE40" i="162"/>
  <c r="V40" i="162"/>
  <c r="U40" i="162"/>
  <c r="O40" i="162"/>
  <c r="N40" i="162"/>
  <c r="Q40" i="162" s="1"/>
  <c r="M40" i="162"/>
  <c r="K40" i="162"/>
  <c r="G40" i="162"/>
  <c r="V39" i="162"/>
  <c r="U39" i="162"/>
  <c r="O39" i="162"/>
  <c r="N39" i="162"/>
  <c r="P39" i="162" s="1"/>
  <c r="M39" i="162"/>
  <c r="K39" i="162"/>
  <c r="G39" i="162"/>
  <c r="AF38" i="162"/>
  <c r="AE38" i="162"/>
  <c r="X38" i="162"/>
  <c r="W38" i="162"/>
  <c r="V38" i="162"/>
  <c r="M38" i="162" s="1"/>
  <c r="O38" i="162"/>
  <c r="K38" i="162"/>
  <c r="G38" i="162"/>
  <c r="AE37" i="162"/>
  <c r="AD37" i="162"/>
  <c r="Z37" i="162"/>
  <c r="Y37" i="162"/>
  <c r="O37" i="162"/>
  <c r="M37" i="162"/>
  <c r="AF37" i="162" s="1"/>
  <c r="K37" i="162"/>
  <c r="AF36" i="162"/>
  <c r="AE36" i="162"/>
  <c r="V36" i="162"/>
  <c r="U36" i="162"/>
  <c r="O36" i="162"/>
  <c r="N36" i="162"/>
  <c r="M36" i="162"/>
  <c r="K36" i="162"/>
  <c r="G36" i="162"/>
  <c r="AF35" i="162"/>
  <c r="AE35" i="162"/>
  <c r="V35" i="162"/>
  <c r="U35" i="162"/>
  <c r="O35" i="162"/>
  <c r="M35" i="162"/>
  <c r="N35" i="162" s="1"/>
  <c r="K35" i="162"/>
  <c r="G35" i="162"/>
  <c r="V34" i="162"/>
  <c r="U34" i="162"/>
  <c r="O34" i="162"/>
  <c r="M34" i="162"/>
  <c r="K34" i="162"/>
  <c r="G34" i="162"/>
  <c r="AF33" i="162"/>
  <c r="AE33" i="162"/>
  <c r="X33" i="162"/>
  <c r="W33" i="162"/>
  <c r="V33" i="162"/>
  <c r="M33" i="162" s="1"/>
  <c r="N33" i="162" s="1"/>
  <c r="U33" i="162"/>
  <c r="Q33" i="162"/>
  <c r="P33" i="162"/>
  <c r="O33" i="162"/>
  <c r="K33" i="162"/>
  <c r="G33" i="162"/>
  <c r="AE32" i="162"/>
  <c r="V32" i="162"/>
  <c r="U32" i="162"/>
  <c r="O32" i="162"/>
  <c r="N32" i="162"/>
  <c r="Q32" i="162" s="1"/>
  <c r="M32" i="162"/>
  <c r="AF32" i="162" s="1"/>
  <c r="K32" i="162"/>
  <c r="G32" i="162"/>
  <c r="AF31" i="162"/>
  <c r="AE31" i="162"/>
  <c r="V31" i="162"/>
  <c r="M31" i="162" s="1"/>
  <c r="N31" i="162" s="1"/>
  <c r="P31" i="162" s="1"/>
  <c r="U31" i="162"/>
  <c r="Q31" i="162"/>
  <c r="O31" i="162"/>
  <c r="K31" i="162"/>
  <c r="G31" i="162"/>
  <c r="AF30" i="162"/>
  <c r="V30" i="162"/>
  <c r="U30" i="162"/>
  <c r="O30" i="162"/>
  <c r="N30" i="162"/>
  <c r="Q30" i="162" s="1"/>
  <c r="M30" i="162"/>
  <c r="AE30" i="162" s="1"/>
  <c r="K30" i="162"/>
  <c r="G30" i="162"/>
  <c r="AG29" i="162"/>
  <c r="AF29" i="162"/>
  <c r="AE29" i="162"/>
  <c r="X29" i="162"/>
  <c r="W29" i="162"/>
  <c r="V29" i="162"/>
  <c r="P29" i="162"/>
  <c r="O29" i="162"/>
  <c r="M29" i="162"/>
  <c r="N29" i="162" s="1"/>
  <c r="Q29" i="162" s="1"/>
  <c r="K29" i="162"/>
  <c r="G29" i="162"/>
  <c r="AD28" i="162"/>
  <c r="Z28" i="162"/>
  <c r="Y28" i="162"/>
  <c r="G18" i="161" s="1"/>
  <c r="O28" i="162"/>
  <c r="N28" i="162"/>
  <c r="G14" i="161" s="1"/>
  <c r="K28" i="162"/>
  <c r="V27" i="162"/>
  <c r="U27" i="162"/>
  <c r="Q27" i="162"/>
  <c r="O27" i="162"/>
  <c r="N27" i="162"/>
  <c r="P27" i="162" s="1"/>
  <c r="M27" i="162"/>
  <c r="K27" i="162"/>
  <c r="G27" i="162"/>
  <c r="AF26" i="162"/>
  <c r="AE26" i="162"/>
  <c r="V26" i="162"/>
  <c r="M26" i="162" s="1"/>
  <c r="N26" i="162" s="1"/>
  <c r="U26" i="162"/>
  <c r="Q26" i="162"/>
  <c r="P26" i="162"/>
  <c r="O26" i="162"/>
  <c r="K26" i="162"/>
  <c r="G26" i="162"/>
  <c r="AE25" i="162"/>
  <c r="V25" i="162"/>
  <c r="U25" i="162"/>
  <c r="Q25" i="162"/>
  <c r="P25" i="162"/>
  <c r="O25" i="162"/>
  <c r="N25" i="162"/>
  <c r="M25" i="162"/>
  <c r="AF25" i="162" s="1"/>
  <c r="K25" i="162"/>
  <c r="G25" i="162"/>
  <c r="AF24" i="162"/>
  <c r="AE24" i="162"/>
  <c r="V24" i="162"/>
  <c r="M24" i="162" s="1"/>
  <c r="N24" i="162" s="1"/>
  <c r="P24" i="162" s="1"/>
  <c r="U24" i="162"/>
  <c r="Q24" i="162"/>
  <c r="O24" i="162"/>
  <c r="K24" i="162"/>
  <c r="G24" i="162"/>
  <c r="AF23" i="162"/>
  <c r="V23" i="162"/>
  <c r="U23" i="162"/>
  <c r="O23" i="162"/>
  <c r="N23" i="162"/>
  <c r="Q23" i="162" s="1"/>
  <c r="M23" i="162"/>
  <c r="AE23" i="162" s="1"/>
  <c r="K23" i="162"/>
  <c r="G23" i="162"/>
  <c r="AF22" i="162"/>
  <c r="AE22" i="162"/>
  <c r="V22" i="162"/>
  <c r="O22" i="162"/>
  <c r="N22" i="162"/>
  <c r="M22" i="162"/>
  <c r="M28" i="162" s="1"/>
  <c r="AF28" i="162" s="1"/>
  <c r="AG22" i="162" s="1"/>
  <c r="K22" i="162"/>
  <c r="G22" i="162"/>
  <c r="AD21" i="162"/>
  <c r="Z21" i="162"/>
  <c r="Y21" i="162"/>
  <c r="F18" i="161" s="1"/>
  <c r="O21" i="162"/>
  <c r="N21" i="162"/>
  <c r="F14" i="161" s="1"/>
  <c r="F15" i="161" s="1"/>
  <c r="M21" i="162"/>
  <c r="AE21" i="162" s="1"/>
  <c r="K21" i="162"/>
  <c r="V20" i="162"/>
  <c r="U20" i="162"/>
  <c r="O20" i="162"/>
  <c r="M20" i="162"/>
  <c r="K20" i="162"/>
  <c r="G20" i="162"/>
  <c r="AF19" i="162"/>
  <c r="AE19" i="162"/>
  <c r="X19" i="162"/>
  <c r="W19" i="162"/>
  <c r="V19" i="162"/>
  <c r="M19" i="162" s="1"/>
  <c r="N19" i="162" s="1"/>
  <c r="U19" i="162"/>
  <c r="Q19" i="162"/>
  <c r="P19" i="162"/>
  <c r="O19" i="162"/>
  <c r="K19" i="162"/>
  <c r="G19" i="162"/>
  <c r="AE18" i="162"/>
  <c r="V18" i="162"/>
  <c r="U18" i="162"/>
  <c r="O18" i="162"/>
  <c r="M18" i="162"/>
  <c r="AF18" i="162" s="1"/>
  <c r="K18" i="162"/>
  <c r="G18" i="162"/>
  <c r="AF17" i="162"/>
  <c r="AE17" i="162"/>
  <c r="V17" i="162"/>
  <c r="M17" i="162" s="1"/>
  <c r="N17" i="162" s="1"/>
  <c r="P17" i="162" s="1"/>
  <c r="U17" i="162"/>
  <c r="Q17" i="162"/>
  <c r="O17" i="162"/>
  <c r="K17" i="162"/>
  <c r="G17" i="162"/>
  <c r="AF16" i="162"/>
  <c r="V16" i="162"/>
  <c r="U16" i="162"/>
  <c r="O16" i="162"/>
  <c r="M16" i="162"/>
  <c r="AE16" i="162" s="1"/>
  <c r="K16" i="162"/>
  <c r="G16" i="162"/>
  <c r="AF15" i="162"/>
  <c r="AE15" i="162"/>
  <c r="V15" i="162"/>
  <c r="U15" i="162"/>
  <c r="O15" i="162"/>
  <c r="N15" i="162"/>
  <c r="M15" i="162"/>
  <c r="K15" i="162"/>
  <c r="G15" i="162"/>
  <c r="AF14" i="162"/>
  <c r="AE14" i="162"/>
  <c r="V14" i="162"/>
  <c r="U14" i="162"/>
  <c r="O14" i="162"/>
  <c r="M14" i="162"/>
  <c r="N14" i="162" s="1"/>
  <c r="K14" i="162"/>
  <c r="G14" i="162"/>
  <c r="X13" i="162"/>
  <c r="W13" i="162"/>
  <c r="V13" i="162"/>
  <c r="O13" i="162"/>
  <c r="N13" i="162"/>
  <c r="P13" i="162" s="1"/>
  <c r="M13" i="162"/>
  <c r="K13" i="162"/>
  <c r="G13" i="162"/>
  <c r="AD12" i="162"/>
  <c r="Z12" i="162"/>
  <c r="Y12" i="162"/>
  <c r="O12" i="162"/>
  <c r="K12" i="162"/>
  <c r="AF11" i="162"/>
  <c r="AE11" i="162"/>
  <c r="V11" i="162"/>
  <c r="U11" i="162"/>
  <c r="O11" i="162"/>
  <c r="N11" i="162"/>
  <c r="Q11" i="162" s="1"/>
  <c r="M11" i="162"/>
  <c r="K11" i="162"/>
  <c r="G11" i="162"/>
  <c r="AF10" i="162"/>
  <c r="AE10" i="162"/>
  <c r="X10" i="162"/>
  <c r="W10" i="162"/>
  <c r="V10" i="162"/>
  <c r="U10" i="162"/>
  <c r="O10" i="162"/>
  <c r="N10" i="162"/>
  <c r="M10" i="162"/>
  <c r="K10" i="162"/>
  <c r="G10" i="162"/>
  <c r="AF9" i="162"/>
  <c r="AE9" i="162"/>
  <c r="V9" i="162"/>
  <c r="U9" i="162"/>
  <c r="O9" i="162"/>
  <c r="N9" i="162"/>
  <c r="Q9" i="162" s="1"/>
  <c r="M9" i="162"/>
  <c r="K9" i="162"/>
  <c r="G9" i="162"/>
  <c r="X8" i="162"/>
  <c r="W8" i="162"/>
  <c r="V8" i="162"/>
  <c r="Q8" i="162"/>
  <c r="O8" i="162"/>
  <c r="N8" i="162"/>
  <c r="P8" i="162" s="1"/>
  <c r="M8" i="162"/>
  <c r="K8" i="162"/>
  <c r="G8" i="162"/>
  <c r="AD7" i="162"/>
  <c r="AD2" i="162" s="1"/>
  <c r="N6" i="161" s="1"/>
  <c r="Z7" i="162"/>
  <c r="Y7" i="162"/>
  <c r="O7" i="162"/>
  <c r="K7" i="162"/>
  <c r="AF6" i="162"/>
  <c r="AE6" i="162"/>
  <c r="V6" i="162"/>
  <c r="U6" i="162"/>
  <c r="Q6" i="162"/>
  <c r="P6" i="162"/>
  <c r="O6" i="162"/>
  <c r="N6" i="162"/>
  <c r="M6" i="162"/>
  <c r="K6" i="162"/>
  <c r="G6" i="162"/>
  <c r="AF5" i="162"/>
  <c r="AE5" i="162"/>
  <c r="V5" i="162"/>
  <c r="O5" i="162"/>
  <c r="M5" i="162"/>
  <c r="K5" i="162"/>
  <c r="G5" i="162"/>
  <c r="Z2" i="162"/>
  <c r="Y2" i="162"/>
  <c r="H2" i="162"/>
  <c r="H1" i="162"/>
  <c r="F1" i="162"/>
  <c r="F2" i="162" s="1"/>
  <c r="D1" i="162"/>
  <c r="M22" i="161"/>
  <c r="L22" i="161"/>
  <c r="K22" i="161"/>
  <c r="J22" i="161"/>
  <c r="I22" i="161"/>
  <c r="H22" i="161"/>
  <c r="G22" i="161"/>
  <c r="F22" i="161"/>
  <c r="E22" i="161"/>
  <c r="D22" i="161"/>
  <c r="M21" i="161"/>
  <c r="K21" i="161"/>
  <c r="J21" i="161"/>
  <c r="I21" i="161"/>
  <c r="H21" i="161"/>
  <c r="G21" i="161"/>
  <c r="F21" i="161"/>
  <c r="E21" i="161"/>
  <c r="D21" i="161"/>
  <c r="M20" i="161"/>
  <c r="L20" i="161"/>
  <c r="K20" i="161"/>
  <c r="J20" i="161"/>
  <c r="I20" i="161"/>
  <c r="H20" i="161"/>
  <c r="G20" i="161"/>
  <c r="F20" i="161"/>
  <c r="E20" i="161"/>
  <c r="D20" i="161"/>
  <c r="M19" i="161"/>
  <c r="K19" i="161"/>
  <c r="J19" i="161"/>
  <c r="I19" i="161"/>
  <c r="H19" i="161"/>
  <c r="G19" i="161"/>
  <c r="F19" i="161"/>
  <c r="E19" i="161"/>
  <c r="D19" i="161"/>
  <c r="M18" i="161"/>
  <c r="L18" i="161"/>
  <c r="K18" i="161"/>
  <c r="J18" i="161"/>
  <c r="E18" i="161"/>
  <c r="D18" i="161"/>
  <c r="M17" i="161"/>
  <c r="L17" i="161"/>
  <c r="K17" i="161"/>
  <c r="J17" i="161"/>
  <c r="I17" i="161"/>
  <c r="H17" i="161"/>
  <c r="G17" i="161"/>
  <c r="F17" i="161"/>
  <c r="E17" i="161"/>
  <c r="D17" i="161"/>
  <c r="M16" i="161"/>
  <c r="L16" i="161"/>
  <c r="K16" i="161"/>
  <c r="J16" i="161"/>
  <c r="I16" i="161"/>
  <c r="H16" i="161"/>
  <c r="G16" i="161"/>
  <c r="F16" i="161"/>
  <c r="E16" i="161"/>
  <c r="D16" i="161"/>
  <c r="J15" i="161"/>
  <c r="G15" i="161"/>
  <c r="J14" i="161"/>
  <c r="M13" i="161"/>
  <c r="L13" i="161"/>
  <c r="K13" i="161"/>
  <c r="J13" i="161"/>
  <c r="I13" i="161"/>
  <c r="H13" i="161"/>
  <c r="G13" i="161"/>
  <c r="F13" i="161"/>
  <c r="G6" i="161" s="1"/>
  <c r="E13" i="161"/>
  <c r="D13" i="161"/>
  <c r="M6" i="161"/>
  <c r="L6" i="161"/>
  <c r="K6" i="161"/>
  <c r="I6" i="161"/>
  <c r="I3" i="161"/>
  <c r="F3" i="161"/>
  <c r="C3" i="161"/>
  <c r="Q65" i="162" l="1"/>
  <c r="P65" i="162"/>
  <c r="Q35" i="162"/>
  <c r="P35" i="162"/>
  <c r="Q46" i="162"/>
  <c r="P46" i="162"/>
  <c r="P14" i="162"/>
  <c r="Q14" i="162"/>
  <c r="AF67" i="162"/>
  <c r="P9" i="162"/>
  <c r="P49" i="162"/>
  <c r="Q51" i="162"/>
  <c r="N58" i="162"/>
  <c r="Q64" i="162"/>
  <c r="P70" i="162"/>
  <c r="Q62" i="162"/>
  <c r="P21" i="162"/>
  <c r="Q55" i="162"/>
  <c r="P40" i="162"/>
  <c r="Q28" i="162"/>
  <c r="R22" i="162" s="1"/>
  <c r="P32" i="162"/>
  <c r="AF21" i="162"/>
  <c r="AG13" i="162" s="1"/>
  <c r="P60" i="162"/>
  <c r="E6" i="161"/>
  <c r="P30" i="162"/>
  <c r="F6" i="161"/>
  <c r="P56" i="162"/>
  <c r="M71" i="162"/>
  <c r="N71" i="162" s="1"/>
  <c r="Q53" i="162"/>
  <c r="AE28" i="162"/>
  <c r="N37" i="162"/>
  <c r="AE58" i="162"/>
  <c r="N18" i="162"/>
  <c r="N67" i="162"/>
  <c r="N16" i="162"/>
  <c r="Q39" i="162"/>
  <c r="Q69" i="162"/>
  <c r="Q13" i="162"/>
  <c r="Q21" i="162"/>
  <c r="R13" i="162" s="1"/>
  <c r="P23" i="162"/>
  <c r="P11" i="162"/>
  <c r="P28" i="162"/>
  <c r="M7" i="162"/>
  <c r="N5" i="162"/>
  <c r="AF8" i="162"/>
  <c r="AE8" i="162"/>
  <c r="M12" i="162"/>
  <c r="Q10" i="162"/>
  <c r="P10" i="162"/>
  <c r="AF13" i="162"/>
  <c r="AE13" i="162"/>
  <c r="Q15" i="162"/>
  <c r="P15" i="162"/>
  <c r="AF20" i="162"/>
  <c r="AE20" i="162"/>
  <c r="N20" i="162"/>
  <c r="Q22" i="162"/>
  <c r="P22" i="162"/>
  <c r="AF27" i="162"/>
  <c r="AE27" i="162"/>
  <c r="AF34" i="162"/>
  <c r="AE34" i="162"/>
  <c r="N34" i="162"/>
  <c r="Q36" i="162"/>
  <c r="P36" i="162"/>
  <c r="M45" i="162"/>
  <c r="N38" i="162"/>
  <c r="AF39" i="162"/>
  <c r="AE39" i="162"/>
  <c r="AF41" i="162"/>
  <c r="AE41" i="162"/>
  <c r="N41" i="162"/>
  <c r="Q43" i="162"/>
  <c r="P43" i="162"/>
  <c r="AF46" i="162"/>
  <c r="AE46" i="162"/>
  <c r="M50" i="162"/>
  <c r="AF48" i="162"/>
  <c r="AE48" i="162"/>
  <c r="N48" i="162"/>
  <c r="AE55" i="162"/>
  <c r="AF55" i="162"/>
  <c r="AF57" i="162"/>
  <c r="AE57" i="162"/>
  <c r="N57" i="162"/>
  <c r="Q59" i="162"/>
  <c r="P59" i="162"/>
  <c r="AF64" i="162"/>
  <c r="AE64" i="162"/>
  <c r="Q66" i="162"/>
  <c r="P66" i="162"/>
  <c r="AF69" i="162"/>
  <c r="AE69" i="162"/>
  <c r="AF71" i="162"/>
  <c r="AG64" i="162" s="1"/>
  <c r="AD71" i="160"/>
  <c r="Z71" i="160"/>
  <c r="Y71" i="160"/>
  <c r="O71" i="160"/>
  <c r="K71" i="160"/>
  <c r="AF70" i="160"/>
  <c r="AE70" i="160"/>
  <c r="V70" i="160"/>
  <c r="U70" i="160"/>
  <c r="P70" i="160"/>
  <c r="O70" i="160"/>
  <c r="N70" i="160"/>
  <c r="Q70" i="160" s="1"/>
  <c r="M70" i="160"/>
  <c r="K70" i="160"/>
  <c r="G70" i="160"/>
  <c r="AF69" i="160"/>
  <c r="AE69" i="160"/>
  <c r="V69" i="160"/>
  <c r="U69" i="160"/>
  <c r="Q69" i="160"/>
  <c r="O69" i="160"/>
  <c r="N69" i="160"/>
  <c r="P69" i="160" s="1"/>
  <c r="M69" i="160"/>
  <c r="K69" i="160"/>
  <c r="G69" i="160"/>
  <c r="AF68" i="160"/>
  <c r="AE68" i="160"/>
  <c r="X68" i="160"/>
  <c r="W68" i="160"/>
  <c r="V68" i="160"/>
  <c r="U68" i="160"/>
  <c r="O68" i="160"/>
  <c r="N68" i="160"/>
  <c r="Q68" i="160" s="1"/>
  <c r="M68" i="160"/>
  <c r="K68" i="160"/>
  <c r="G68" i="160"/>
  <c r="AF67" i="160"/>
  <c r="AE67" i="160"/>
  <c r="V67" i="160"/>
  <c r="U67" i="160"/>
  <c r="Q67" i="160"/>
  <c r="O67" i="160"/>
  <c r="N67" i="160"/>
  <c r="P67" i="160" s="1"/>
  <c r="M67" i="160"/>
  <c r="K67" i="160"/>
  <c r="G67" i="160"/>
  <c r="V66" i="160"/>
  <c r="U66" i="160"/>
  <c r="O66" i="160"/>
  <c r="M66" i="160"/>
  <c r="N66" i="160" s="1"/>
  <c r="K66" i="160"/>
  <c r="G66" i="160"/>
  <c r="V65" i="160"/>
  <c r="U65" i="160"/>
  <c r="O65" i="160"/>
  <c r="M65" i="160"/>
  <c r="N65" i="160" s="1"/>
  <c r="K65" i="160"/>
  <c r="G65" i="160"/>
  <c r="AF64" i="160"/>
  <c r="AE64" i="160"/>
  <c r="X64" i="160"/>
  <c r="W64" i="160"/>
  <c r="V64" i="160"/>
  <c r="Q64" i="160"/>
  <c r="O64" i="160"/>
  <c r="N64" i="160"/>
  <c r="P64" i="160" s="1"/>
  <c r="M64" i="160"/>
  <c r="K64" i="160"/>
  <c r="G64" i="160"/>
  <c r="AD63" i="160"/>
  <c r="Z63" i="160"/>
  <c r="Y63" i="160"/>
  <c r="O63" i="160"/>
  <c r="M63" i="160"/>
  <c r="N63" i="160" s="1"/>
  <c r="K63" i="160"/>
  <c r="V62" i="160"/>
  <c r="U62" i="160"/>
  <c r="O62" i="160"/>
  <c r="M62" i="160"/>
  <c r="N62" i="160" s="1"/>
  <c r="K62" i="160"/>
  <c r="G62" i="160"/>
  <c r="AF61" i="160"/>
  <c r="V61" i="160"/>
  <c r="U61" i="160"/>
  <c r="O61" i="160"/>
  <c r="N61" i="160"/>
  <c r="P61" i="160" s="1"/>
  <c r="M61" i="160"/>
  <c r="AE61" i="160" s="1"/>
  <c r="K61" i="160"/>
  <c r="G61" i="160"/>
  <c r="AF60" i="160"/>
  <c r="AE60" i="160"/>
  <c r="V60" i="160"/>
  <c r="U60" i="160"/>
  <c r="O60" i="160"/>
  <c r="M60" i="160"/>
  <c r="N60" i="160" s="1"/>
  <c r="K60" i="160"/>
  <c r="G60" i="160"/>
  <c r="AF59" i="160"/>
  <c r="AE59" i="160"/>
  <c r="V59" i="160"/>
  <c r="O59" i="160"/>
  <c r="M59" i="160"/>
  <c r="N59" i="160" s="1"/>
  <c r="K59" i="160"/>
  <c r="G59" i="160"/>
  <c r="AE58" i="160"/>
  <c r="AD58" i="160"/>
  <c r="Z58" i="160"/>
  <c r="Y58" i="160"/>
  <c r="O58" i="160"/>
  <c r="M58" i="160"/>
  <c r="N58" i="160" s="1"/>
  <c r="K58" i="160"/>
  <c r="AF57" i="160"/>
  <c r="AE57" i="160"/>
  <c r="V57" i="160"/>
  <c r="U57" i="160"/>
  <c r="O57" i="160"/>
  <c r="N57" i="160"/>
  <c r="Q57" i="160" s="1"/>
  <c r="M57" i="160"/>
  <c r="K57" i="160"/>
  <c r="G57" i="160"/>
  <c r="AF56" i="160"/>
  <c r="AE56" i="160"/>
  <c r="V56" i="160"/>
  <c r="U56" i="160"/>
  <c r="Q56" i="160"/>
  <c r="P56" i="160"/>
  <c r="O56" i="160"/>
  <c r="N56" i="160"/>
  <c r="M56" i="160"/>
  <c r="K56" i="160"/>
  <c r="G56" i="160"/>
  <c r="AF55" i="160"/>
  <c r="AE55" i="160"/>
  <c r="V55" i="160"/>
  <c r="U55" i="160"/>
  <c r="Q55" i="160"/>
  <c r="P55" i="160"/>
  <c r="O55" i="160"/>
  <c r="N55" i="160"/>
  <c r="M55" i="160"/>
  <c r="K55" i="160"/>
  <c r="G55" i="160"/>
  <c r="AF54" i="160"/>
  <c r="AE54" i="160"/>
  <c r="V54" i="160"/>
  <c r="U54" i="160"/>
  <c r="Q54" i="160"/>
  <c r="P54" i="160"/>
  <c r="O54" i="160"/>
  <c r="N54" i="160"/>
  <c r="M54" i="160"/>
  <c r="K54" i="160"/>
  <c r="G54" i="160"/>
  <c r="AF53" i="160"/>
  <c r="AE53" i="160"/>
  <c r="V53" i="160"/>
  <c r="U53" i="160"/>
  <c r="Q53" i="160"/>
  <c r="P53" i="160"/>
  <c r="O53" i="160"/>
  <c r="N53" i="160"/>
  <c r="M53" i="160"/>
  <c r="K53" i="160"/>
  <c r="G53" i="160"/>
  <c r="AF52" i="160"/>
  <c r="AE52" i="160"/>
  <c r="V52" i="160"/>
  <c r="U52" i="160"/>
  <c r="O52" i="160"/>
  <c r="N52" i="160"/>
  <c r="Q52" i="160" s="1"/>
  <c r="M52" i="160"/>
  <c r="K52" i="160"/>
  <c r="G52" i="160"/>
  <c r="AF51" i="160"/>
  <c r="AE51" i="160"/>
  <c r="V51" i="160"/>
  <c r="O51" i="160"/>
  <c r="N51" i="160"/>
  <c r="Q51" i="160" s="1"/>
  <c r="M51" i="160"/>
  <c r="K51" i="160"/>
  <c r="G51" i="160"/>
  <c r="AD50" i="160"/>
  <c r="Z50" i="160"/>
  <c r="Y50" i="160"/>
  <c r="O50" i="160"/>
  <c r="M50" i="160"/>
  <c r="AE50" i="160" s="1"/>
  <c r="K50" i="160"/>
  <c r="AF49" i="160"/>
  <c r="AE49" i="160"/>
  <c r="V49" i="160"/>
  <c r="U49" i="160"/>
  <c r="Q49" i="160"/>
  <c r="P49" i="160"/>
  <c r="O49" i="160"/>
  <c r="N49" i="160"/>
  <c r="M49" i="160"/>
  <c r="K49" i="160"/>
  <c r="G49" i="160"/>
  <c r="V48" i="160"/>
  <c r="U48" i="160"/>
  <c r="O48" i="160"/>
  <c r="M48" i="160"/>
  <c r="N48" i="160" s="1"/>
  <c r="K48" i="160"/>
  <c r="G48" i="160"/>
  <c r="AF47" i="160"/>
  <c r="V47" i="160"/>
  <c r="U47" i="160"/>
  <c r="O47" i="160"/>
  <c r="N47" i="160"/>
  <c r="P47" i="160" s="1"/>
  <c r="M47" i="160"/>
  <c r="AE47" i="160" s="1"/>
  <c r="K47" i="160"/>
  <c r="G47" i="160"/>
  <c r="AF46" i="160"/>
  <c r="V46" i="160"/>
  <c r="O46" i="160"/>
  <c r="N46" i="160"/>
  <c r="P46" i="160" s="1"/>
  <c r="M46" i="160"/>
  <c r="AE46" i="160" s="1"/>
  <c r="K46" i="160"/>
  <c r="G46" i="160"/>
  <c r="AD45" i="160"/>
  <c r="Z45" i="160"/>
  <c r="Y45" i="160"/>
  <c r="O45" i="160"/>
  <c r="K45" i="160"/>
  <c r="AF44" i="160"/>
  <c r="AE44" i="160"/>
  <c r="V44" i="160"/>
  <c r="U44" i="160"/>
  <c r="O44" i="160"/>
  <c r="M44" i="160"/>
  <c r="N44" i="160" s="1"/>
  <c r="K44" i="160"/>
  <c r="G44" i="160"/>
  <c r="AF43" i="160"/>
  <c r="AE43" i="160"/>
  <c r="V43" i="160"/>
  <c r="U43" i="160"/>
  <c r="O43" i="160"/>
  <c r="N43" i="160"/>
  <c r="Q43" i="160" s="1"/>
  <c r="M43" i="160"/>
  <c r="K43" i="160"/>
  <c r="G43" i="160"/>
  <c r="X42" i="160"/>
  <c r="W42" i="160"/>
  <c r="V42" i="160"/>
  <c r="U42" i="160"/>
  <c r="O42" i="160"/>
  <c r="M42" i="160"/>
  <c r="N42" i="160" s="1"/>
  <c r="K42" i="160"/>
  <c r="G42" i="160"/>
  <c r="AF41" i="160"/>
  <c r="AE41" i="160"/>
  <c r="V41" i="160"/>
  <c r="U41" i="160"/>
  <c r="O41" i="160"/>
  <c r="N41" i="160"/>
  <c r="Q41" i="160" s="1"/>
  <c r="M41" i="160"/>
  <c r="K41" i="160"/>
  <c r="G41" i="160"/>
  <c r="V40" i="160"/>
  <c r="U40" i="160"/>
  <c r="O40" i="160"/>
  <c r="M40" i="160"/>
  <c r="M45" i="160" s="1"/>
  <c r="K40" i="160"/>
  <c r="G40" i="160"/>
  <c r="AF39" i="160"/>
  <c r="AE39" i="160"/>
  <c r="V39" i="160"/>
  <c r="U39" i="160"/>
  <c r="Q39" i="160"/>
  <c r="P39" i="160"/>
  <c r="O39" i="160"/>
  <c r="N39" i="160"/>
  <c r="M39" i="160"/>
  <c r="K39" i="160"/>
  <c r="G39" i="160"/>
  <c r="AF38" i="160"/>
  <c r="AE38" i="160"/>
  <c r="X38" i="160"/>
  <c r="W38" i="160"/>
  <c r="V38" i="160"/>
  <c r="O38" i="160"/>
  <c r="N38" i="160"/>
  <c r="Q38" i="160" s="1"/>
  <c r="M38" i="160"/>
  <c r="K38" i="160"/>
  <c r="G38" i="160"/>
  <c r="AF37" i="160"/>
  <c r="AG29" i="160" s="1"/>
  <c r="AE37" i="160"/>
  <c r="AD37" i="160"/>
  <c r="Z37" i="160"/>
  <c r="Y37" i="160"/>
  <c r="O37" i="160"/>
  <c r="N37" i="160"/>
  <c r="Q37" i="160" s="1"/>
  <c r="R29" i="160" s="1"/>
  <c r="M37" i="160"/>
  <c r="K37" i="160"/>
  <c r="AF36" i="160"/>
  <c r="AE36" i="160"/>
  <c r="V36" i="160"/>
  <c r="U36" i="160"/>
  <c r="Q36" i="160"/>
  <c r="P36" i="160"/>
  <c r="O36" i="160"/>
  <c r="N36" i="160"/>
  <c r="M36" i="160"/>
  <c r="K36" i="160"/>
  <c r="G36" i="160"/>
  <c r="AF35" i="160"/>
  <c r="AE35" i="160"/>
  <c r="V35" i="160"/>
  <c r="U35" i="160"/>
  <c r="Q35" i="160"/>
  <c r="P35" i="160"/>
  <c r="O35" i="160"/>
  <c r="N35" i="160"/>
  <c r="M35" i="160"/>
  <c r="K35" i="160"/>
  <c r="G35" i="160"/>
  <c r="AF34" i="160"/>
  <c r="AE34" i="160"/>
  <c r="V34" i="160"/>
  <c r="U34" i="160"/>
  <c r="Q34" i="160"/>
  <c r="P34" i="160"/>
  <c r="O34" i="160"/>
  <c r="N34" i="160"/>
  <c r="M34" i="160"/>
  <c r="K34" i="160"/>
  <c r="G34" i="160"/>
  <c r="AF33" i="160"/>
  <c r="AE33" i="160"/>
  <c r="X33" i="160"/>
  <c r="W33" i="160"/>
  <c r="V33" i="160"/>
  <c r="U33" i="160"/>
  <c r="Q33" i="160"/>
  <c r="P33" i="160"/>
  <c r="O33" i="160"/>
  <c r="N33" i="160"/>
  <c r="M33" i="160"/>
  <c r="K33" i="160"/>
  <c r="G33" i="160"/>
  <c r="AF32" i="160"/>
  <c r="AE32" i="160"/>
  <c r="V32" i="160"/>
  <c r="U32" i="160"/>
  <c r="Q32" i="160"/>
  <c r="P32" i="160"/>
  <c r="O32" i="160"/>
  <c r="N32" i="160"/>
  <c r="M32" i="160"/>
  <c r="K32" i="160"/>
  <c r="G32" i="160"/>
  <c r="AF31" i="160"/>
  <c r="AE31" i="160"/>
  <c r="V31" i="160"/>
  <c r="U31" i="160"/>
  <c r="O31" i="160"/>
  <c r="N31" i="160"/>
  <c r="Q31" i="160" s="1"/>
  <c r="M31" i="160"/>
  <c r="K31" i="160"/>
  <c r="G31" i="160"/>
  <c r="AF30" i="160"/>
  <c r="AE30" i="160"/>
  <c r="V30" i="160"/>
  <c r="U30" i="160"/>
  <c r="Q30" i="160"/>
  <c r="O30" i="160"/>
  <c r="N30" i="160"/>
  <c r="P30" i="160" s="1"/>
  <c r="M30" i="160"/>
  <c r="K30" i="160"/>
  <c r="G30" i="160"/>
  <c r="AF29" i="160"/>
  <c r="AE29" i="160"/>
  <c r="X29" i="160"/>
  <c r="W29" i="160"/>
  <c r="V29" i="160"/>
  <c r="Q29" i="160"/>
  <c r="P29" i="160"/>
  <c r="O29" i="160"/>
  <c r="N29" i="160"/>
  <c r="M29" i="160"/>
  <c r="K29" i="160"/>
  <c r="G29" i="160"/>
  <c r="AD28" i="160"/>
  <c r="Z28" i="160"/>
  <c r="Y28" i="160"/>
  <c r="O28" i="160"/>
  <c r="K28" i="160"/>
  <c r="AF27" i="160"/>
  <c r="AE27" i="160"/>
  <c r="V27" i="160"/>
  <c r="U27" i="160"/>
  <c r="Q27" i="160"/>
  <c r="O27" i="160"/>
  <c r="N27" i="160"/>
  <c r="P27" i="160" s="1"/>
  <c r="M27" i="160"/>
  <c r="K27" i="160"/>
  <c r="G27" i="160"/>
  <c r="AF26" i="160"/>
  <c r="AE26" i="160"/>
  <c r="V26" i="160"/>
  <c r="U26" i="160"/>
  <c r="Q26" i="160"/>
  <c r="P26" i="160"/>
  <c r="O26" i="160"/>
  <c r="N26" i="160"/>
  <c r="M26" i="160"/>
  <c r="K26" i="160"/>
  <c r="G26" i="160"/>
  <c r="V25" i="160"/>
  <c r="U25" i="160"/>
  <c r="O25" i="160"/>
  <c r="M25" i="160"/>
  <c r="N25" i="160" s="1"/>
  <c r="K25" i="160"/>
  <c r="G25" i="160"/>
  <c r="AF24" i="160"/>
  <c r="V24" i="160"/>
  <c r="U24" i="160"/>
  <c r="O24" i="160"/>
  <c r="N24" i="160"/>
  <c r="P24" i="160" s="1"/>
  <c r="M24" i="160"/>
  <c r="AE24" i="160" s="1"/>
  <c r="K24" i="160"/>
  <c r="G24" i="160"/>
  <c r="AF23" i="160"/>
  <c r="AE23" i="160"/>
  <c r="V23" i="160"/>
  <c r="U23" i="160"/>
  <c r="O23" i="160"/>
  <c r="M23" i="160"/>
  <c r="N23" i="160" s="1"/>
  <c r="K23" i="160"/>
  <c r="G23" i="160"/>
  <c r="AF22" i="160"/>
  <c r="AE22" i="160"/>
  <c r="V22" i="160"/>
  <c r="O22" i="160"/>
  <c r="M22" i="160"/>
  <c r="N22" i="160" s="1"/>
  <c r="K22" i="160"/>
  <c r="G22" i="160"/>
  <c r="AE21" i="160"/>
  <c r="AD21" i="160"/>
  <c r="Z21" i="160"/>
  <c r="Y21" i="160"/>
  <c r="O21" i="160"/>
  <c r="M21" i="160"/>
  <c r="N21" i="160" s="1"/>
  <c r="K21" i="160"/>
  <c r="AF20" i="160"/>
  <c r="AE20" i="160"/>
  <c r="V20" i="160"/>
  <c r="U20" i="160"/>
  <c r="O20" i="160"/>
  <c r="N20" i="160"/>
  <c r="Q20" i="160" s="1"/>
  <c r="M20" i="160"/>
  <c r="K20" i="160"/>
  <c r="G20" i="160"/>
  <c r="X19" i="160"/>
  <c r="W19" i="160"/>
  <c r="V19" i="160"/>
  <c r="U19" i="160"/>
  <c r="O19" i="160"/>
  <c r="M19" i="160"/>
  <c r="N19" i="160" s="1"/>
  <c r="K19" i="160"/>
  <c r="G19" i="160"/>
  <c r="AF18" i="160"/>
  <c r="AE18" i="160"/>
  <c r="V18" i="160"/>
  <c r="U18" i="160"/>
  <c r="O18" i="160"/>
  <c r="N18" i="160"/>
  <c r="Q18" i="160" s="1"/>
  <c r="M18" i="160"/>
  <c r="K18" i="160"/>
  <c r="G18" i="160"/>
  <c r="V17" i="160"/>
  <c r="U17" i="160"/>
  <c r="O17" i="160"/>
  <c r="M17" i="160"/>
  <c r="AF17" i="160" s="1"/>
  <c r="K17" i="160"/>
  <c r="G17" i="160"/>
  <c r="AF16" i="160"/>
  <c r="AE16" i="160"/>
  <c r="V16" i="160"/>
  <c r="U16" i="160"/>
  <c r="Q16" i="160"/>
  <c r="P16" i="160"/>
  <c r="O16" i="160"/>
  <c r="N16" i="160"/>
  <c r="M16" i="160"/>
  <c r="K16" i="160"/>
  <c r="G16" i="160"/>
  <c r="AF15" i="160"/>
  <c r="AE15" i="160"/>
  <c r="V15" i="160"/>
  <c r="U15" i="160"/>
  <c r="Q15" i="160"/>
  <c r="P15" i="160"/>
  <c r="O15" i="160"/>
  <c r="N15" i="160"/>
  <c r="M15" i="160"/>
  <c r="K15" i="160"/>
  <c r="G15" i="160"/>
  <c r="AF14" i="160"/>
  <c r="AE14" i="160"/>
  <c r="V14" i="160"/>
  <c r="U14" i="160"/>
  <c r="Q14" i="160"/>
  <c r="P14" i="160"/>
  <c r="O14" i="160"/>
  <c r="N14" i="160"/>
  <c r="M14" i="160"/>
  <c r="K14" i="160"/>
  <c r="G14" i="160"/>
  <c r="AF13" i="160"/>
  <c r="AE13" i="160"/>
  <c r="X13" i="160"/>
  <c r="W13" i="160"/>
  <c r="V13" i="160"/>
  <c r="Q13" i="160"/>
  <c r="P13" i="160"/>
  <c r="O13" i="160"/>
  <c r="N13" i="160"/>
  <c r="M13" i="160"/>
  <c r="K13" i="160"/>
  <c r="G13" i="160"/>
  <c r="AF12" i="160"/>
  <c r="AE12" i="160"/>
  <c r="AD12" i="160"/>
  <c r="Z12" i="160"/>
  <c r="Y12" i="160"/>
  <c r="O12" i="160"/>
  <c r="M12" i="160"/>
  <c r="N12" i="160" s="1"/>
  <c r="K12" i="160"/>
  <c r="AF11" i="160"/>
  <c r="AE11" i="160"/>
  <c r="V11" i="160"/>
  <c r="U11" i="160"/>
  <c r="Q11" i="160"/>
  <c r="P11" i="160"/>
  <c r="O11" i="160"/>
  <c r="N11" i="160"/>
  <c r="M11" i="160"/>
  <c r="K11" i="160"/>
  <c r="G11" i="160"/>
  <c r="AF10" i="160"/>
  <c r="AE10" i="160"/>
  <c r="X10" i="160"/>
  <c r="W10" i="160"/>
  <c r="V10" i="160"/>
  <c r="U10" i="160"/>
  <c r="Q10" i="160"/>
  <c r="P10" i="160"/>
  <c r="O10" i="160"/>
  <c r="N10" i="160"/>
  <c r="M10" i="160"/>
  <c r="K10" i="160"/>
  <c r="G10" i="160"/>
  <c r="AF9" i="160"/>
  <c r="AE9" i="160"/>
  <c r="V9" i="160"/>
  <c r="U9" i="160"/>
  <c r="Q9" i="160"/>
  <c r="P9" i="160"/>
  <c r="O9" i="160"/>
  <c r="N9" i="160"/>
  <c r="M9" i="160"/>
  <c r="K9" i="160"/>
  <c r="G9" i="160"/>
  <c r="AG8" i="160"/>
  <c r="AF8" i="160"/>
  <c r="AE8" i="160"/>
  <c r="X8" i="160"/>
  <c r="W8" i="160"/>
  <c r="V8" i="160"/>
  <c r="Q8" i="160"/>
  <c r="P8" i="160"/>
  <c r="O8" i="160"/>
  <c r="N8" i="160"/>
  <c r="M8" i="160"/>
  <c r="K8" i="160"/>
  <c r="G8" i="160"/>
  <c r="AF7" i="160"/>
  <c r="AE7" i="160"/>
  <c r="AD7" i="160"/>
  <c r="Z7" i="160"/>
  <c r="Y7" i="160"/>
  <c r="Q7" i="160"/>
  <c r="R5" i="160" s="1"/>
  <c r="P7" i="160"/>
  <c r="O7" i="160"/>
  <c r="N7" i="160"/>
  <c r="M7" i="160"/>
  <c r="K7" i="160"/>
  <c r="AF6" i="160"/>
  <c r="AE6" i="160"/>
  <c r="V6" i="160"/>
  <c r="U6" i="160"/>
  <c r="Q6" i="160"/>
  <c r="P6" i="160"/>
  <c r="O6" i="160"/>
  <c r="N6" i="160"/>
  <c r="M6" i="160"/>
  <c r="K6" i="160"/>
  <c r="G6" i="160"/>
  <c r="AG5" i="160"/>
  <c r="AF5" i="160"/>
  <c r="AE5" i="160"/>
  <c r="V5" i="160"/>
  <c r="Q5" i="160"/>
  <c r="P5" i="160"/>
  <c r="O5" i="160"/>
  <c r="N5" i="160"/>
  <c r="M5" i="160"/>
  <c r="K5" i="160"/>
  <c r="G5" i="160"/>
  <c r="AD2" i="160"/>
  <c r="N6" i="159" s="1"/>
  <c r="Z2" i="160"/>
  <c r="Y2" i="160"/>
  <c r="H2" i="160"/>
  <c r="H1" i="160"/>
  <c r="F1" i="160"/>
  <c r="F2" i="160" s="1"/>
  <c r="D1" i="160"/>
  <c r="M22" i="159"/>
  <c r="L22" i="159"/>
  <c r="K22" i="159"/>
  <c r="J22" i="159"/>
  <c r="I22" i="159"/>
  <c r="H22" i="159"/>
  <c r="G22" i="159"/>
  <c r="F22" i="159"/>
  <c r="E22" i="159"/>
  <c r="D22" i="159"/>
  <c r="M21" i="159"/>
  <c r="L21" i="159"/>
  <c r="K21" i="159"/>
  <c r="J21" i="159"/>
  <c r="I21" i="159"/>
  <c r="H21" i="159"/>
  <c r="G21" i="159"/>
  <c r="F21" i="159"/>
  <c r="E21" i="159"/>
  <c r="D21" i="159"/>
  <c r="M20" i="159"/>
  <c r="L20" i="159"/>
  <c r="K20" i="159"/>
  <c r="J20" i="159"/>
  <c r="I20" i="159"/>
  <c r="H20" i="159"/>
  <c r="G20" i="159"/>
  <c r="F20" i="159"/>
  <c r="E20" i="159"/>
  <c r="D20" i="159"/>
  <c r="M19" i="159"/>
  <c r="L19" i="159"/>
  <c r="K19" i="159"/>
  <c r="J19" i="159"/>
  <c r="I19" i="159"/>
  <c r="H19" i="159"/>
  <c r="G19" i="159"/>
  <c r="F19" i="159"/>
  <c r="E19" i="159"/>
  <c r="D19" i="159"/>
  <c r="M18" i="159"/>
  <c r="L18" i="159"/>
  <c r="K18" i="159"/>
  <c r="J18" i="159"/>
  <c r="I18" i="159"/>
  <c r="H18" i="159"/>
  <c r="G18" i="159"/>
  <c r="F18" i="159"/>
  <c r="E18" i="159"/>
  <c r="D18" i="159"/>
  <c r="M17" i="159"/>
  <c r="L17" i="159"/>
  <c r="K17" i="159"/>
  <c r="J17" i="159"/>
  <c r="I17" i="159"/>
  <c r="H17" i="159"/>
  <c r="G17" i="159"/>
  <c r="F17" i="159"/>
  <c r="E17" i="159"/>
  <c r="D17" i="159"/>
  <c r="M16" i="159"/>
  <c r="L16" i="159"/>
  <c r="K16" i="159"/>
  <c r="J16" i="159"/>
  <c r="I16" i="159"/>
  <c r="H16" i="159"/>
  <c r="G16" i="159"/>
  <c r="F16" i="159"/>
  <c r="E16" i="159"/>
  <c r="D16" i="159"/>
  <c r="K14" i="159"/>
  <c r="D14" i="159"/>
  <c r="D15" i="159" s="1"/>
  <c r="M13" i="159"/>
  <c r="L13" i="159"/>
  <c r="K13" i="159"/>
  <c r="J13" i="159"/>
  <c r="I13" i="159"/>
  <c r="H13" i="159"/>
  <c r="G13" i="159"/>
  <c r="F13" i="159"/>
  <c r="E13" i="159"/>
  <c r="D13" i="159"/>
  <c r="M6" i="159"/>
  <c r="L6" i="159"/>
  <c r="K6" i="159"/>
  <c r="I6" i="159"/>
  <c r="G6" i="159"/>
  <c r="F6" i="159"/>
  <c r="E6" i="159"/>
  <c r="F3" i="159"/>
  <c r="C3" i="159"/>
  <c r="AE50" i="162" l="1"/>
  <c r="N50" i="162"/>
  <c r="AF50" i="162"/>
  <c r="AG46" i="162" s="1"/>
  <c r="Q67" i="162"/>
  <c r="P67" i="162"/>
  <c r="I14" i="161"/>
  <c r="I15" i="161" s="1"/>
  <c r="Q58" i="162"/>
  <c r="R51" i="162" s="1"/>
  <c r="P58" i="162"/>
  <c r="N12" i="162"/>
  <c r="AF12" i="162"/>
  <c r="AG8" i="162" s="1"/>
  <c r="AE12" i="162"/>
  <c r="N45" i="162"/>
  <c r="AF45" i="162"/>
  <c r="AG38" i="162" s="1"/>
  <c r="AE45" i="162"/>
  <c r="M14" i="161"/>
  <c r="M15" i="161" s="1"/>
  <c r="Q71" i="162"/>
  <c r="R64" i="162" s="1"/>
  <c r="P71" i="162"/>
  <c r="Q34" i="162"/>
  <c r="P34" i="162"/>
  <c r="N7" i="162"/>
  <c r="AE7" i="162"/>
  <c r="AF7" i="162"/>
  <c r="AG5" i="162" s="1"/>
  <c r="Q20" i="162"/>
  <c r="P20" i="162"/>
  <c r="Q41" i="162"/>
  <c r="P41" i="162"/>
  <c r="P16" i="162"/>
  <c r="Q16" i="162"/>
  <c r="Q18" i="162"/>
  <c r="P18" i="162"/>
  <c r="Q57" i="162"/>
  <c r="P57" i="162"/>
  <c r="K14" i="161"/>
  <c r="Q37" i="162"/>
  <c r="R29" i="162" s="1"/>
  <c r="P37" i="162"/>
  <c r="Q48" i="162"/>
  <c r="P48" i="162"/>
  <c r="AE71" i="162"/>
  <c r="Q38" i="162"/>
  <c r="P38" i="162"/>
  <c r="Q5" i="162"/>
  <c r="P5" i="162"/>
  <c r="F14" i="159"/>
  <c r="F15" i="159" s="1"/>
  <c r="Q21" i="160"/>
  <c r="R13" i="160" s="1"/>
  <c r="P21" i="160"/>
  <c r="P60" i="160"/>
  <c r="Q60" i="160"/>
  <c r="Q48" i="160"/>
  <c r="P48" i="160"/>
  <c r="E14" i="159"/>
  <c r="Q12" i="160"/>
  <c r="R8" i="160" s="1"/>
  <c r="P12" i="160"/>
  <c r="AF45" i="160"/>
  <c r="AG38" i="160" s="1"/>
  <c r="N45" i="160"/>
  <c r="AE45" i="160"/>
  <c r="Q65" i="160"/>
  <c r="P65" i="160"/>
  <c r="Q62" i="160"/>
  <c r="P62" i="160"/>
  <c r="P59" i="160"/>
  <c r="Q59" i="160"/>
  <c r="P22" i="160"/>
  <c r="Q22" i="160"/>
  <c r="Q44" i="160"/>
  <c r="P44" i="160"/>
  <c r="I14" i="159"/>
  <c r="I15" i="159" s="1"/>
  <c r="P58" i="160"/>
  <c r="Q58" i="160"/>
  <c r="R51" i="160" s="1"/>
  <c r="P63" i="160"/>
  <c r="J14" i="159"/>
  <c r="J15" i="159" s="1"/>
  <c r="Q63" i="160"/>
  <c r="R59" i="160" s="1"/>
  <c r="Q66" i="160"/>
  <c r="P66" i="160"/>
  <c r="P23" i="160"/>
  <c r="Q23" i="160"/>
  <c r="Q42" i="160"/>
  <c r="P42" i="160"/>
  <c r="Q25" i="160"/>
  <c r="P25" i="160"/>
  <c r="Q19" i="160"/>
  <c r="P19" i="160"/>
  <c r="N50" i="160"/>
  <c r="N17" i="160"/>
  <c r="N40" i="160"/>
  <c r="AF50" i="160"/>
  <c r="AG46" i="160" s="1"/>
  <c r="AE63" i="160"/>
  <c r="AE66" i="160"/>
  <c r="Q46" i="160"/>
  <c r="Q47" i="160"/>
  <c r="Q61" i="160"/>
  <c r="P18" i="160"/>
  <c r="P20" i="160"/>
  <c r="AE25" i="160"/>
  <c r="P37" i="160"/>
  <c r="P38" i="160"/>
  <c r="P41" i="160"/>
  <c r="P43" i="160"/>
  <c r="AE48" i="160"/>
  <c r="P57" i="160"/>
  <c r="AE62" i="160"/>
  <c r="AF63" i="160"/>
  <c r="AG59" i="160" s="1"/>
  <c r="AE65" i="160"/>
  <c r="AF66" i="160"/>
  <c r="M71" i="160"/>
  <c r="Q24" i="160"/>
  <c r="K15" i="159"/>
  <c r="AF25" i="160"/>
  <c r="M28" i="160"/>
  <c r="AF48" i="160"/>
  <c r="AF62" i="160"/>
  <c r="AF65" i="160"/>
  <c r="AF21" i="160"/>
  <c r="AG13" i="160" s="1"/>
  <c r="AF58" i="160"/>
  <c r="AG51" i="160" s="1"/>
  <c r="I3" i="159"/>
  <c r="AE17" i="160"/>
  <c r="AE19" i="160"/>
  <c r="P31" i="160"/>
  <c r="AE40" i="160"/>
  <c r="AE42" i="160"/>
  <c r="P51" i="160"/>
  <c r="P52" i="160"/>
  <c r="P68" i="160"/>
  <c r="AF19" i="160"/>
  <c r="AF40" i="160"/>
  <c r="AF42" i="160"/>
  <c r="AD68" i="158"/>
  <c r="Z68" i="158"/>
  <c r="Y68" i="158"/>
  <c r="O68" i="158"/>
  <c r="K68" i="158"/>
  <c r="V67" i="158"/>
  <c r="U67" i="158"/>
  <c r="O67" i="158"/>
  <c r="M67" i="158"/>
  <c r="N67" i="158" s="1"/>
  <c r="K67" i="158"/>
  <c r="G67" i="158"/>
  <c r="V66" i="158"/>
  <c r="U66" i="158"/>
  <c r="O66" i="158"/>
  <c r="M66" i="158"/>
  <c r="AF66" i="158" s="1"/>
  <c r="K66" i="158"/>
  <c r="G66" i="158"/>
  <c r="X65" i="158"/>
  <c r="W65" i="158"/>
  <c r="V65" i="158"/>
  <c r="M65" i="158" s="1"/>
  <c r="U65" i="158"/>
  <c r="O65" i="158"/>
  <c r="K65" i="158"/>
  <c r="G65" i="158"/>
  <c r="V64" i="158"/>
  <c r="U64" i="158"/>
  <c r="O64" i="158"/>
  <c r="M64" i="158"/>
  <c r="AF64" i="158" s="1"/>
  <c r="K64" i="158"/>
  <c r="G64" i="158"/>
  <c r="V63" i="158"/>
  <c r="M63" i="158" s="1"/>
  <c r="U63" i="158"/>
  <c r="O63" i="158"/>
  <c r="K63" i="158"/>
  <c r="G63" i="158"/>
  <c r="V62" i="158"/>
  <c r="U62" i="158"/>
  <c r="O62" i="158"/>
  <c r="M62" i="158"/>
  <c r="AE62" i="158" s="1"/>
  <c r="K62" i="158"/>
  <c r="G62" i="158"/>
  <c r="X61" i="158"/>
  <c r="W61" i="158"/>
  <c r="V61" i="158"/>
  <c r="O61" i="158"/>
  <c r="M61" i="158"/>
  <c r="AF61" i="158" s="1"/>
  <c r="K61" i="158"/>
  <c r="G61" i="158"/>
  <c r="AD60" i="158"/>
  <c r="Z60" i="158"/>
  <c r="Y60" i="158"/>
  <c r="J18" i="157" s="1"/>
  <c r="O60" i="158"/>
  <c r="K60" i="158"/>
  <c r="V59" i="158"/>
  <c r="M59" i="158" s="1"/>
  <c r="U59" i="158"/>
  <c r="O59" i="158"/>
  <c r="K59" i="158"/>
  <c r="G59" i="158"/>
  <c r="V58" i="158"/>
  <c r="M58" i="158" s="1"/>
  <c r="U58" i="158"/>
  <c r="O58" i="158"/>
  <c r="K58" i="158"/>
  <c r="G58" i="158"/>
  <c r="V57" i="158"/>
  <c r="U57" i="158"/>
  <c r="O57" i="158"/>
  <c r="M57" i="158"/>
  <c r="AF57" i="158" s="1"/>
  <c r="K57" i="158"/>
  <c r="G57" i="158"/>
  <c r="AF56" i="158"/>
  <c r="AE56" i="158"/>
  <c r="V56" i="158"/>
  <c r="O56" i="158"/>
  <c r="M56" i="158"/>
  <c r="K56" i="158"/>
  <c r="G56" i="158"/>
  <c r="AD55" i="158"/>
  <c r="Z55" i="158"/>
  <c r="Y55" i="158"/>
  <c r="O55" i="158"/>
  <c r="K55" i="158"/>
  <c r="I13" i="157" s="1"/>
  <c r="V54" i="158"/>
  <c r="U54" i="158"/>
  <c r="O54" i="158"/>
  <c r="M54" i="158"/>
  <c r="AF54" i="158" s="1"/>
  <c r="K54" i="158"/>
  <c r="G54" i="158"/>
  <c r="V53" i="158"/>
  <c r="U53" i="158"/>
  <c r="O53" i="158"/>
  <c r="M53" i="158"/>
  <c r="N53" i="158" s="1"/>
  <c r="K53" i="158"/>
  <c r="G53" i="158"/>
  <c r="V52" i="158"/>
  <c r="U52" i="158"/>
  <c r="O52" i="158"/>
  <c r="M52" i="158"/>
  <c r="AF52" i="158" s="1"/>
  <c r="K52" i="158"/>
  <c r="G52" i="158"/>
  <c r="V51" i="158"/>
  <c r="M51" i="158" s="1"/>
  <c r="U51" i="158"/>
  <c r="O51" i="158"/>
  <c r="K51" i="158"/>
  <c r="G51" i="158"/>
  <c r="V50" i="158"/>
  <c r="M50" i="158" s="1"/>
  <c r="U50" i="158"/>
  <c r="O50" i="158"/>
  <c r="K50" i="158"/>
  <c r="G50" i="158"/>
  <c r="V49" i="158"/>
  <c r="M49" i="158" s="1"/>
  <c r="U49" i="158"/>
  <c r="O49" i="158"/>
  <c r="K49" i="158"/>
  <c r="G49" i="158"/>
  <c r="V48" i="158"/>
  <c r="O48" i="158"/>
  <c r="M48" i="158"/>
  <c r="N48" i="158" s="1"/>
  <c r="K48" i="158"/>
  <c r="G48" i="158"/>
  <c r="AD47" i="158"/>
  <c r="Z47" i="158"/>
  <c r="Y47" i="158"/>
  <c r="O47" i="158"/>
  <c r="K47" i="158"/>
  <c r="V46" i="158"/>
  <c r="U46" i="158"/>
  <c r="O46" i="158"/>
  <c r="M46" i="158"/>
  <c r="AF46" i="158" s="1"/>
  <c r="K46" i="158"/>
  <c r="G46" i="158"/>
  <c r="V45" i="158"/>
  <c r="U45" i="158"/>
  <c r="O45" i="158"/>
  <c r="M45" i="158"/>
  <c r="AF45" i="158" s="1"/>
  <c r="K45" i="158"/>
  <c r="G45" i="158"/>
  <c r="V44" i="158"/>
  <c r="M44" i="158" s="1"/>
  <c r="O44" i="158"/>
  <c r="K44" i="158"/>
  <c r="G44" i="158"/>
  <c r="AD43" i="158"/>
  <c r="Z43" i="158"/>
  <c r="Y43" i="158"/>
  <c r="O43" i="158"/>
  <c r="K43" i="158"/>
  <c r="V42" i="158"/>
  <c r="M42" i="158" s="1"/>
  <c r="U42" i="158"/>
  <c r="O42" i="158"/>
  <c r="K42" i="158"/>
  <c r="G42" i="158"/>
  <c r="V41" i="158"/>
  <c r="M41" i="158" s="1"/>
  <c r="U41" i="158"/>
  <c r="O41" i="158"/>
  <c r="K41" i="158"/>
  <c r="G41" i="158"/>
  <c r="AF40" i="158"/>
  <c r="AE40" i="158"/>
  <c r="X40" i="158"/>
  <c r="W40" i="158"/>
  <c r="V40" i="158"/>
  <c r="U40" i="158"/>
  <c r="O40" i="158"/>
  <c r="M40" i="158"/>
  <c r="N40" i="158" s="1"/>
  <c r="K40" i="158"/>
  <c r="G40" i="158"/>
  <c r="V39" i="158"/>
  <c r="U39" i="158"/>
  <c r="O39" i="158"/>
  <c r="M39" i="158"/>
  <c r="AF39" i="158" s="1"/>
  <c r="K39" i="158"/>
  <c r="G39" i="158"/>
  <c r="V38" i="158"/>
  <c r="U38" i="158"/>
  <c r="O38" i="158"/>
  <c r="M38" i="158"/>
  <c r="AF38" i="158" s="1"/>
  <c r="K38" i="158"/>
  <c r="G38" i="158"/>
  <c r="X37" i="158"/>
  <c r="W37" i="158"/>
  <c r="V37" i="158"/>
  <c r="M37" i="158" s="1"/>
  <c r="O37" i="158"/>
  <c r="K37" i="158"/>
  <c r="G37" i="158"/>
  <c r="AD36" i="158"/>
  <c r="Z36" i="158"/>
  <c r="Y36" i="158"/>
  <c r="K18" i="157" s="1"/>
  <c r="O36" i="158"/>
  <c r="K36" i="158"/>
  <c r="V35" i="158"/>
  <c r="M35" i="158" s="1"/>
  <c r="U35" i="158"/>
  <c r="O35" i="158"/>
  <c r="K35" i="158"/>
  <c r="G35" i="158"/>
  <c r="V34" i="158"/>
  <c r="U34" i="158"/>
  <c r="O34" i="158"/>
  <c r="M34" i="158"/>
  <c r="AE34" i="158" s="1"/>
  <c r="K34" i="158"/>
  <c r="G34" i="158"/>
  <c r="AF33" i="158"/>
  <c r="AE33" i="158"/>
  <c r="X33" i="158"/>
  <c r="W33" i="158"/>
  <c r="V33" i="158"/>
  <c r="U33" i="158"/>
  <c r="O33" i="158"/>
  <c r="M33" i="158"/>
  <c r="N33" i="158" s="1"/>
  <c r="K33" i="158"/>
  <c r="G33" i="158"/>
  <c r="V32" i="158"/>
  <c r="U32" i="158"/>
  <c r="O32" i="158"/>
  <c r="M32" i="158"/>
  <c r="N32" i="158" s="1"/>
  <c r="K32" i="158"/>
  <c r="G32" i="158"/>
  <c r="V31" i="158"/>
  <c r="U31" i="158"/>
  <c r="O31" i="158"/>
  <c r="M31" i="158"/>
  <c r="AF31" i="158" s="1"/>
  <c r="K31" i="158"/>
  <c r="G31" i="158"/>
  <c r="V30" i="158"/>
  <c r="M30" i="158" s="1"/>
  <c r="U30" i="158"/>
  <c r="O30" i="158"/>
  <c r="K30" i="158"/>
  <c r="G30" i="158"/>
  <c r="X29" i="158"/>
  <c r="W29" i="158"/>
  <c r="V29" i="158"/>
  <c r="O29" i="158"/>
  <c r="M29" i="158"/>
  <c r="N29" i="158" s="1"/>
  <c r="K29" i="158"/>
  <c r="G29" i="158"/>
  <c r="AD28" i="158"/>
  <c r="Z28" i="158"/>
  <c r="Y28" i="158"/>
  <c r="O28" i="158"/>
  <c r="K28" i="158"/>
  <c r="V27" i="158"/>
  <c r="U27" i="158"/>
  <c r="O27" i="158"/>
  <c r="M27" i="158"/>
  <c r="AF27" i="158" s="1"/>
  <c r="K27" i="158"/>
  <c r="G27" i="158"/>
  <c r="V26" i="158"/>
  <c r="U26" i="158"/>
  <c r="O26" i="158"/>
  <c r="M26" i="158"/>
  <c r="AF26" i="158" s="1"/>
  <c r="K26" i="158"/>
  <c r="G26" i="158"/>
  <c r="V25" i="158"/>
  <c r="U25" i="158"/>
  <c r="O25" i="158"/>
  <c r="M25" i="158"/>
  <c r="N25" i="158" s="1"/>
  <c r="K25" i="158"/>
  <c r="G25" i="158"/>
  <c r="V24" i="158"/>
  <c r="U24" i="158"/>
  <c r="O24" i="158"/>
  <c r="M24" i="158"/>
  <c r="AF24" i="158" s="1"/>
  <c r="K24" i="158"/>
  <c r="G24" i="158"/>
  <c r="V23" i="158"/>
  <c r="M23" i="158" s="1"/>
  <c r="U23" i="158"/>
  <c r="O23" i="158"/>
  <c r="K23" i="158"/>
  <c r="G23" i="158"/>
  <c r="V22" i="158"/>
  <c r="M22" i="158" s="1"/>
  <c r="O22" i="158"/>
  <c r="K22" i="158"/>
  <c r="G22" i="158"/>
  <c r="AD21" i="158"/>
  <c r="F21" i="157" s="1"/>
  <c r="Z21" i="158"/>
  <c r="F19" i="157" s="1"/>
  <c r="Y21" i="158"/>
  <c r="O21" i="158"/>
  <c r="K21" i="158"/>
  <c r="V20" i="158"/>
  <c r="U20" i="158"/>
  <c r="O20" i="158"/>
  <c r="M20" i="158"/>
  <c r="AE20" i="158" s="1"/>
  <c r="K20" i="158"/>
  <c r="G20" i="158"/>
  <c r="AF19" i="158"/>
  <c r="AE19" i="158"/>
  <c r="X19" i="158"/>
  <c r="W19" i="158"/>
  <c r="V19" i="158"/>
  <c r="U19" i="158"/>
  <c r="O19" i="158"/>
  <c r="M19" i="158"/>
  <c r="N19" i="158" s="1"/>
  <c r="K19" i="158"/>
  <c r="G19" i="158"/>
  <c r="V18" i="158"/>
  <c r="U18" i="158"/>
  <c r="O18" i="158"/>
  <c r="M18" i="158"/>
  <c r="N18" i="158" s="1"/>
  <c r="K18" i="158"/>
  <c r="G18" i="158"/>
  <c r="V17" i="158"/>
  <c r="U17" i="158"/>
  <c r="O17" i="158"/>
  <c r="M17" i="158"/>
  <c r="AF17" i="158" s="1"/>
  <c r="K17" i="158"/>
  <c r="G17" i="158"/>
  <c r="V16" i="158"/>
  <c r="M16" i="158" s="1"/>
  <c r="U16" i="158"/>
  <c r="O16" i="158"/>
  <c r="K16" i="158"/>
  <c r="G16" i="158"/>
  <c r="V15" i="158"/>
  <c r="M15" i="158" s="1"/>
  <c r="U15" i="158"/>
  <c r="O15" i="158"/>
  <c r="K15" i="158"/>
  <c r="G15" i="158"/>
  <c r="V14" i="158"/>
  <c r="M14" i="158" s="1"/>
  <c r="U14" i="158"/>
  <c r="O14" i="158"/>
  <c r="K14" i="158"/>
  <c r="G14" i="158"/>
  <c r="X13" i="158"/>
  <c r="W13" i="158"/>
  <c r="V13" i="158"/>
  <c r="O13" i="158"/>
  <c r="M13" i="158"/>
  <c r="AE13" i="158" s="1"/>
  <c r="K13" i="158"/>
  <c r="G13" i="158"/>
  <c r="AD12" i="158"/>
  <c r="Z12" i="158"/>
  <c r="E19" i="157" s="1"/>
  <c r="Y12" i="158"/>
  <c r="E18" i="157" s="1"/>
  <c r="O12" i="158"/>
  <c r="K12" i="158"/>
  <c r="V11" i="158"/>
  <c r="U11" i="158"/>
  <c r="O11" i="158"/>
  <c r="M11" i="158"/>
  <c r="N11" i="158" s="1"/>
  <c r="K11" i="158"/>
  <c r="G11" i="158"/>
  <c r="X10" i="158"/>
  <c r="W10" i="158"/>
  <c r="V10" i="158"/>
  <c r="M10" i="158" s="1"/>
  <c r="U10" i="158"/>
  <c r="O10" i="158"/>
  <c r="K10" i="158"/>
  <c r="G10" i="158"/>
  <c r="V9" i="158"/>
  <c r="M9" i="158" s="1"/>
  <c r="U9" i="158"/>
  <c r="O9" i="158"/>
  <c r="K9" i="158"/>
  <c r="G9" i="158"/>
  <c r="X8" i="158"/>
  <c r="W8" i="158"/>
  <c r="V8" i="158"/>
  <c r="O8" i="158"/>
  <c r="M8" i="158"/>
  <c r="K8" i="158"/>
  <c r="G8" i="158"/>
  <c r="AD7" i="158"/>
  <c r="Z7" i="158"/>
  <c r="D19" i="157" s="1"/>
  <c r="Y7" i="158"/>
  <c r="D18" i="157" s="1"/>
  <c r="O7" i="158"/>
  <c r="K7" i="158"/>
  <c r="V6" i="158"/>
  <c r="U6" i="158"/>
  <c r="O6" i="158"/>
  <c r="M6" i="158"/>
  <c r="N6" i="158" s="1"/>
  <c r="K6" i="158"/>
  <c r="G6" i="158"/>
  <c r="V5" i="158"/>
  <c r="M5" i="158" s="1"/>
  <c r="O5" i="158"/>
  <c r="K5" i="158"/>
  <c r="G5" i="158"/>
  <c r="F1" i="158" s="1"/>
  <c r="H2" i="158"/>
  <c r="H1" i="158"/>
  <c r="D1" i="158"/>
  <c r="M22" i="157"/>
  <c r="L22" i="157"/>
  <c r="K22" i="157"/>
  <c r="J22" i="157"/>
  <c r="I22" i="157"/>
  <c r="H22" i="157"/>
  <c r="G22" i="157"/>
  <c r="F22" i="157"/>
  <c r="E22" i="157"/>
  <c r="D22" i="157"/>
  <c r="M21" i="157"/>
  <c r="L21" i="157"/>
  <c r="K21" i="157"/>
  <c r="J21" i="157"/>
  <c r="I21" i="157"/>
  <c r="H21" i="157"/>
  <c r="G21" i="157"/>
  <c r="E21" i="157"/>
  <c r="D21" i="157"/>
  <c r="M20" i="157"/>
  <c r="L20" i="157"/>
  <c r="K20" i="157"/>
  <c r="J20" i="157"/>
  <c r="I20" i="157"/>
  <c r="H20" i="157"/>
  <c r="G20" i="157"/>
  <c r="F20" i="157"/>
  <c r="E20" i="157"/>
  <c r="D20" i="157"/>
  <c r="M19" i="157"/>
  <c r="L19" i="157"/>
  <c r="K19" i="157"/>
  <c r="J19" i="157"/>
  <c r="I19" i="157"/>
  <c r="H19" i="157"/>
  <c r="G19" i="157"/>
  <c r="M18" i="157"/>
  <c r="L18" i="157"/>
  <c r="I18" i="157"/>
  <c r="H18" i="157"/>
  <c r="G18" i="157"/>
  <c r="F18" i="157"/>
  <c r="M17" i="157"/>
  <c r="L17" i="157"/>
  <c r="K17" i="157"/>
  <c r="J17" i="157"/>
  <c r="I17" i="157"/>
  <c r="H17" i="157"/>
  <c r="G17" i="157"/>
  <c r="F17" i="157"/>
  <c r="E17" i="157"/>
  <c r="D17" i="157"/>
  <c r="M16" i="157"/>
  <c r="L16" i="157"/>
  <c r="K16" i="157"/>
  <c r="J16" i="157"/>
  <c r="I16" i="157"/>
  <c r="H16" i="157"/>
  <c r="G16" i="157"/>
  <c r="F16" i="157"/>
  <c r="E16" i="157"/>
  <c r="D16" i="157"/>
  <c r="M13" i="157"/>
  <c r="L13" i="157"/>
  <c r="K13" i="157"/>
  <c r="I6" i="157" s="1"/>
  <c r="J13" i="157"/>
  <c r="H13" i="157"/>
  <c r="G13" i="157"/>
  <c r="F13" i="157"/>
  <c r="E13" i="157"/>
  <c r="D13" i="157"/>
  <c r="M6" i="157"/>
  <c r="F3" i="157"/>
  <c r="C3" i="157"/>
  <c r="D2" i="162" l="1"/>
  <c r="D14" i="161"/>
  <c r="P7" i="162"/>
  <c r="Q7" i="162"/>
  <c r="R5" i="162" s="1"/>
  <c r="K15" i="161"/>
  <c r="P45" i="162"/>
  <c r="L14" i="161"/>
  <c r="L15" i="161" s="1"/>
  <c r="Q45" i="162"/>
  <c r="R38" i="162" s="1"/>
  <c r="Q12" i="162"/>
  <c r="R8" i="162" s="1"/>
  <c r="P12" i="162"/>
  <c r="E14" i="161"/>
  <c r="E15" i="161" s="1"/>
  <c r="H14" i="161"/>
  <c r="H15" i="161" s="1"/>
  <c r="Q50" i="162"/>
  <c r="R46" i="162" s="1"/>
  <c r="P50" i="162"/>
  <c r="AE28" i="160"/>
  <c r="AF28" i="160"/>
  <c r="AG22" i="160" s="1"/>
  <c r="N28" i="160"/>
  <c r="Q40" i="160"/>
  <c r="P40" i="160"/>
  <c r="P17" i="160"/>
  <c r="Q17" i="160"/>
  <c r="Q50" i="160"/>
  <c r="R46" i="160" s="1"/>
  <c r="P50" i="160"/>
  <c r="H14" i="159"/>
  <c r="H15" i="159" s="1"/>
  <c r="AF71" i="160"/>
  <c r="AG64" i="160" s="1"/>
  <c r="AE71" i="160"/>
  <c r="N71" i="160"/>
  <c r="E15" i="159"/>
  <c r="P45" i="160"/>
  <c r="L14" i="159"/>
  <c r="Q45" i="160"/>
  <c r="R38" i="160" s="1"/>
  <c r="N37" i="158"/>
  <c r="M43" i="158"/>
  <c r="AF37" i="158"/>
  <c r="AE37" i="158"/>
  <c r="N35" i="158"/>
  <c r="AE35" i="158"/>
  <c r="AF35" i="158"/>
  <c r="Q67" i="158"/>
  <c r="P67" i="158"/>
  <c r="AF5" i="158"/>
  <c r="M7" i="158"/>
  <c r="AE5" i="158"/>
  <c r="N5" i="158"/>
  <c r="N63" i="158"/>
  <c r="AF63" i="158"/>
  <c r="AE63" i="158"/>
  <c r="AF15" i="158"/>
  <c r="AE15" i="158"/>
  <c r="N15" i="158"/>
  <c r="Q19" i="158"/>
  <c r="P19" i="158"/>
  <c r="N49" i="158"/>
  <c r="AF49" i="158"/>
  <c r="AE49" i="158"/>
  <c r="M55" i="158"/>
  <c r="N65" i="158"/>
  <c r="AE65" i="158"/>
  <c r="AF65" i="158"/>
  <c r="F2" i="158"/>
  <c r="I3" i="157"/>
  <c r="Q29" i="158"/>
  <c r="P29" i="158"/>
  <c r="AF41" i="158"/>
  <c r="AE41" i="158"/>
  <c r="N41" i="158"/>
  <c r="Q53" i="158"/>
  <c r="P53" i="158"/>
  <c r="N42" i="158"/>
  <c r="AE42" i="158"/>
  <c r="AF42" i="158"/>
  <c r="N9" i="158"/>
  <c r="AF9" i="158"/>
  <c r="AE9" i="158"/>
  <c r="N16" i="158"/>
  <c r="AE16" i="158"/>
  <c r="AF16" i="158"/>
  <c r="N23" i="158"/>
  <c r="AE23" i="158"/>
  <c r="AF23" i="158"/>
  <c r="Q40" i="158"/>
  <c r="P40" i="158"/>
  <c r="AF10" i="158"/>
  <c r="AE10" i="158"/>
  <c r="N10" i="158"/>
  <c r="N51" i="158"/>
  <c r="AE51" i="158"/>
  <c r="AF51" i="158"/>
  <c r="AF22" i="158"/>
  <c r="AE22" i="158"/>
  <c r="M28" i="158"/>
  <c r="N22" i="158"/>
  <c r="Q33" i="158"/>
  <c r="P33" i="158"/>
  <c r="G6" i="157"/>
  <c r="Q6" i="158"/>
  <c r="P6" i="158"/>
  <c r="AF50" i="158"/>
  <c r="AE50" i="158"/>
  <c r="N50" i="158"/>
  <c r="N30" i="158"/>
  <c r="AE30" i="158"/>
  <c r="AF30" i="158"/>
  <c r="N58" i="158"/>
  <c r="AF58" i="158"/>
  <c r="AE58" i="158"/>
  <c r="M47" i="158"/>
  <c r="N44" i="158"/>
  <c r="AF44" i="158"/>
  <c r="AE44" i="158"/>
  <c r="Q48" i="158"/>
  <c r="P48" i="158"/>
  <c r="Q18" i="158"/>
  <c r="P18" i="158"/>
  <c r="Q11" i="158"/>
  <c r="P11" i="158"/>
  <c r="N14" i="158"/>
  <c r="AF14" i="158"/>
  <c r="AE14" i="158"/>
  <c r="M12" i="158"/>
  <c r="Q25" i="158"/>
  <c r="P25" i="158"/>
  <c r="M60" i="158"/>
  <c r="AF59" i="158"/>
  <c r="AE59" i="158"/>
  <c r="N59" i="158"/>
  <c r="Q32" i="158"/>
  <c r="P32" i="158"/>
  <c r="N57" i="158"/>
  <c r="N64" i="158"/>
  <c r="AE6" i="158"/>
  <c r="AE11" i="158"/>
  <c r="AE18" i="158"/>
  <c r="AE25" i="158"/>
  <c r="AE32" i="158"/>
  <c r="AE53" i="158"/>
  <c r="AE67" i="158"/>
  <c r="AF6" i="158"/>
  <c r="AF11" i="158"/>
  <c r="AF18" i="158"/>
  <c r="AF25" i="158"/>
  <c r="AF32" i="158"/>
  <c r="AF53" i="158"/>
  <c r="AF67" i="158"/>
  <c r="E6" i="157"/>
  <c r="F6" i="157"/>
  <c r="N13" i="158"/>
  <c r="N46" i="158"/>
  <c r="N34" i="158"/>
  <c r="AF8" i="158"/>
  <c r="AF13" i="158"/>
  <c r="AF20" i="158"/>
  <c r="N26" i="158"/>
  <c r="AF34" i="158"/>
  <c r="N38" i="158"/>
  <c r="N45" i="158"/>
  <c r="AF48" i="158"/>
  <c r="N54" i="158"/>
  <c r="AE57" i="158"/>
  <c r="AE64" i="158"/>
  <c r="AE29" i="158"/>
  <c r="Y2" i="158"/>
  <c r="K6" i="157" s="1"/>
  <c r="N8" i="158"/>
  <c r="N27" i="158"/>
  <c r="N39" i="158"/>
  <c r="M36" i="158"/>
  <c r="AE27" i="158"/>
  <c r="AE39" i="158"/>
  <c r="AE46" i="158"/>
  <c r="AE8" i="158"/>
  <c r="AE48" i="158"/>
  <c r="AF62" i="158"/>
  <c r="M21" i="158"/>
  <c r="AF29" i="158"/>
  <c r="N56" i="158"/>
  <c r="N20" i="158"/>
  <c r="Z2" i="158"/>
  <c r="L6" i="157" s="1"/>
  <c r="N62" i="158"/>
  <c r="AD2" i="158"/>
  <c r="N6" i="157" s="1"/>
  <c r="N17" i="158"/>
  <c r="N24" i="158"/>
  <c r="N31" i="158"/>
  <c r="N52" i="158"/>
  <c r="N61" i="158"/>
  <c r="N66" i="158"/>
  <c r="M68" i="158"/>
  <c r="AE17" i="158"/>
  <c r="AE24" i="158"/>
  <c r="AE31" i="158"/>
  <c r="AE52" i="158"/>
  <c r="AE66" i="158"/>
  <c r="AE26" i="158"/>
  <c r="AE38" i="158"/>
  <c r="AE45" i="158"/>
  <c r="AE54" i="158"/>
  <c r="AE61" i="158"/>
  <c r="AD71" i="156"/>
  <c r="Z71" i="156"/>
  <c r="Y71" i="156"/>
  <c r="O71" i="156"/>
  <c r="K71" i="156"/>
  <c r="M13" i="155" s="1"/>
  <c r="V70" i="156"/>
  <c r="U70" i="156"/>
  <c r="O70" i="156"/>
  <c r="M70" i="156"/>
  <c r="AF70" i="156" s="1"/>
  <c r="K70" i="156"/>
  <c r="G70" i="156"/>
  <c r="V69" i="156"/>
  <c r="U69" i="156"/>
  <c r="O69" i="156"/>
  <c r="M69" i="156"/>
  <c r="AE69" i="156" s="1"/>
  <c r="K69" i="156"/>
  <c r="G69" i="156"/>
  <c r="V68" i="156"/>
  <c r="M68" i="156" s="1"/>
  <c r="U68" i="156"/>
  <c r="O68" i="156"/>
  <c r="K68" i="156"/>
  <c r="G68" i="156"/>
  <c r="X67" i="156"/>
  <c r="W67" i="156"/>
  <c r="V67" i="156"/>
  <c r="U67" i="156"/>
  <c r="O67" i="156"/>
  <c r="M67" i="156"/>
  <c r="AE67" i="156" s="1"/>
  <c r="K67" i="156"/>
  <c r="G67" i="156"/>
  <c r="V66" i="156"/>
  <c r="M66" i="156" s="1"/>
  <c r="U66" i="156"/>
  <c r="O66" i="156"/>
  <c r="K66" i="156"/>
  <c r="G66" i="156"/>
  <c r="V65" i="156"/>
  <c r="U65" i="156"/>
  <c r="O65" i="156"/>
  <c r="M65" i="156"/>
  <c r="AF65" i="156" s="1"/>
  <c r="K65" i="156"/>
  <c r="G65" i="156"/>
  <c r="AF64" i="156"/>
  <c r="AE64" i="156"/>
  <c r="V64" i="156"/>
  <c r="U64" i="156"/>
  <c r="O64" i="156"/>
  <c r="N64" i="156"/>
  <c r="Q64" i="156" s="1"/>
  <c r="M64" i="156"/>
  <c r="K64" i="156"/>
  <c r="G64" i="156"/>
  <c r="X63" i="156"/>
  <c r="W63" i="156"/>
  <c r="V63" i="156"/>
  <c r="M63" i="156" s="1"/>
  <c r="O63" i="156"/>
  <c r="K63" i="156"/>
  <c r="G63" i="156"/>
  <c r="AD62" i="156"/>
  <c r="J21" i="155" s="1"/>
  <c r="Z62" i="156"/>
  <c r="Y62" i="156"/>
  <c r="O62" i="156"/>
  <c r="K62" i="156"/>
  <c r="J13" i="155" s="1"/>
  <c r="V61" i="156"/>
  <c r="M61" i="156" s="1"/>
  <c r="U61" i="156"/>
  <c r="O61" i="156"/>
  <c r="K61" i="156"/>
  <c r="G61" i="156"/>
  <c r="V60" i="156"/>
  <c r="U60" i="156"/>
  <c r="O60" i="156"/>
  <c r="M60" i="156"/>
  <c r="AF60" i="156" s="1"/>
  <c r="K60" i="156"/>
  <c r="G60" i="156"/>
  <c r="V59" i="156"/>
  <c r="M59" i="156" s="1"/>
  <c r="U59" i="156"/>
  <c r="O59" i="156"/>
  <c r="K59" i="156"/>
  <c r="G59" i="156"/>
  <c r="V58" i="156"/>
  <c r="O58" i="156"/>
  <c r="M58" i="156"/>
  <c r="AE58" i="156" s="1"/>
  <c r="K58" i="156"/>
  <c r="G58" i="156"/>
  <c r="AD57" i="156"/>
  <c r="Z57" i="156"/>
  <c r="Y57" i="156"/>
  <c r="O57" i="156"/>
  <c r="K57" i="156"/>
  <c r="I13" i="155" s="1"/>
  <c r="V56" i="156"/>
  <c r="U56" i="156"/>
  <c r="O56" i="156"/>
  <c r="M56" i="156"/>
  <c r="AF56" i="156" s="1"/>
  <c r="K56" i="156"/>
  <c r="G56" i="156"/>
  <c r="V55" i="156"/>
  <c r="U55" i="156"/>
  <c r="O55" i="156"/>
  <c r="M55" i="156"/>
  <c r="AF55" i="156" s="1"/>
  <c r="K55" i="156"/>
  <c r="G55" i="156"/>
  <c r="V54" i="156"/>
  <c r="M54" i="156" s="1"/>
  <c r="U54" i="156"/>
  <c r="O54" i="156"/>
  <c r="K54" i="156"/>
  <c r="G54" i="156"/>
  <c r="V53" i="156"/>
  <c r="U53" i="156"/>
  <c r="O53" i="156"/>
  <c r="M53" i="156"/>
  <c r="AE53" i="156" s="1"/>
  <c r="K53" i="156"/>
  <c r="G53" i="156"/>
  <c r="V52" i="156"/>
  <c r="M52" i="156" s="1"/>
  <c r="U52" i="156"/>
  <c r="O52" i="156"/>
  <c r="K52" i="156"/>
  <c r="G52" i="156"/>
  <c r="V51" i="156"/>
  <c r="U51" i="156"/>
  <c r="O51" i="156"/>
  <c r="M51" i="156"/>
  <c r="AF51" i="156" s="1"/>
  <c r="K51" i="156"/>
  <c r="G51" i="156"/>
  <c r="AF50" i="156"/>
  <c r="AE50" i="156"/>
  <c r="V50" i="156"/>
  <c r="O50" i="156"/>
  <c r="M50" i="156"/>
  <c r="N50" i="156" s="1"/>
  <c r="K50" i="156"/>
  <c r="G50" i="156"/>
  <c r="AD49" i="156"/>
  <c r="H21" i="155" s="1"/>
  <c r="Z49" i="156"/>
  <c r="H19" i="155" s="1"/>
  <c r="Y49" i="156"/>
  <c r="O49" i="156"/>
  <c r="K49" i="156"/>
  <c r="H13" i="155" s="1"/>
  <c r="V48" i="156"/>
  <c r="U48" i="156"/>
  <c r="O48" i="156"/>
  <c r="M48" i="156"/>
  <c r="AF48" i="156" s="1"/>
  <c r="K48" i="156"/>
  <c r="G48" i="156"/>
  <c r="V47" i="156"/>
  <c r="U47" i="156"/>
  <c r="O47" i="156"/>
  <c r="M47" i="156"/>
  <c r="AF47" i="156" s="1"/>
  <c r="K47" i="156"/>
  <c r="G47" i="156"/>
  <c r="V46" i="156"/>
  <c r="O46" i="156"/>
  <c r="M46" i="156"/>
  <c r="AE46" i="156" s="1"/>
  <c r="K46" i="156"/>
  <c r="G46" i="156"/>
  <c r="AD45" i="156"/>
  <c r="L21" i="155" s="1"/>
  <c r="Z45" i="156"/>
  <c r="L19" i="155" s="1"/>
  <c r="Y45" i="156"/>
  <c r="L18" i="155" s="1"/>
  <c r="O45" i="156"/>
  <c r="K45" i="156"/>
  <c r="V44" i="156"/>
  <c r="U44" i="156"/>
  <c r="O44" i="156"/>
  <c r="M44" i="156"/>
  <c r="AF44" i="156" s="1"/>
  <c r="K44" i="156"/>
  <c r="G44" i="156"/>
  <c r="V43" i="156"/>
  <c r="M43" i="156" s="1"/>
  <c r="U43" i="156"/>
  <c r="O43" i="156"/>
  <c r="K43" i="156"/>
  <c r="G43" i="156"/>
  <c r="V42" i="156"/>
  <c r="U42" i="156"/>
  <c r="O42" i="156"/>
  <c r="M42" i="156"/>
  <c r="AE42" i="156" s="1"/>
  <c r="K42" i="156"/>
  <c r="G42" i="156"/>
  <c r="AF41" i="156"/>
  <c r="AE41" i="156"/>
  <c r="X41" i="156"/>
  <c r="W41" i="156"/>
  <c r="V41" i="156"/>
  <c r="U41" i="156"/>
  <c r="O41" i="156"/>
  <c r="M41" i="156"/>
  <c r="N41" i="156" s="1"/>
  <c r="K41" i="156"/>
  <c r="G41" i="156"/>
  <c r="V40" i="156"/>
  <c r="U40" i="156"/>
  <c r="O40" i="156"/>
  <c r="M40" i="156"/>
  <c r="AF40" i="156" s="1"/>
  <c r="K40" i="156"/>
  <c r="G40" i="156"/>
  <c r="V39" i="156"/>
  <c r="U39" i="156"/>
  <c r="O39" i="156"/>
  <c r="M39" i="156"/>
  <c r="AE39" i="156" s="1"/>
  <c r="K39" i="156"/>
  <c r="G39" i="156"/>
  <c r="V38" i="156"/>
  <c r="M38" i="156" s="1"/>
  <c r="U38" i="156"/>
  <c r="O38" i="156"/>
  <c r="K38" i="156"/>
  <c r="G38" i="156"/>
  <c r="X37" i="156"/>
  <c r="W37" i="156"/>
  <c r="V37" i="156"/>
  <c r="O37" i="156"/>
  <c r="M37" i="156"/>
  <c r="AF37" i="156" s="1"/>
  <c r="K37" i="156"/>
  <c r="G37" i="156"/>
  <c r="AD36" i="156"/>
  <c r="Z36" i="156"/>
  <c r="Y36" i="156"/>
  <c r="O36" i="156"/>
  <c r="K36" i="156"/>
  <c r="K13" i="155" s="1"/>
  <c r="I6" i="155" s="1"/>
  <c r="V35" i="156"/>
  <c r="U35" i="156"/>
  <c r="O35" i="156"/>
  <c r="M35" i="156"/>
  <c r="AE35" i="156" s="1"/>
  <c r="K35" i="156"/>
  <c r="G35" i="156"/>
  <c r="V34" i="156"/>
  <c r="U34" i="156"/>
  <c r="O34" i="156"/>
  <c r="M34" i="156"/>
  <c r="AF34" i="156" s="1"/>
  <c r="K34" i="156"/>
  <c r="G34" i="156"/>
  <c r="V33" i="156"/>
  <c r="U33" i="156"/>
  <c r="O33" i="156"/>
  <c r="M33" i="156"/>
  <c r="AF33" i="156" s="1"/>
  <c r="K33" i="156"/>
  <c r="G33" i="156"/>
  <c r="X32" i="156"/>
  <c r="W32" i="156"/>
  <c r="V32" i="156"/>
  <c r="U32" i="156"/>
  <c r="O32" i="156"/>
  <c r="M32" i="156"/>
  <c r="AF32" i="156" s="1"/>
  <c r="K32" i="156"/>
  <c r="G32" i="156"/>
  <c r="V31" i="156"/>
  <c r="M31" i="156" s="1"/>
  <c r="U31" i="156"/>
  <c r="O31" i="156"/>
  <c r="K31" i="156"/>
  <c r="G31" i="156"/>
  <c r="V30" i="156"/>
  <c r="U30" i="156"/>
  <c r="O30" i="156"/>
  <c r="M30" i="156"/>
  <c r="AF30" i="156" s="1"/>
  <c r="K30" i="156"/>
  <c r="G30" i="156"/>
  <c r="V29" i="156"/>
  <c r="M29" i="156" s="1"/>
  <c r="U29" i="156"/>
  <c r="O29" i="156"/>
  <c r="K29" i="156"/>
  <c r="G29" i="156"/>
  <c r="X28" i="156"/>
  <c r="W28" i="156"/>
  <c r="V28" i="156"/>
  <c r="O28" i="156"/>
  <c r="M28" i="156"/>
  <c r="AE28" i="156" s="1"/>
  <c r="K28" i="156"/>
  <c r="G28" i="156"/>
  <c r="AD27" i="156"/>
  <c r="Z27" i="156"/>
  <c r="Y27" i="156"/>
  <c r="G18" i="155" s="1"/>
  <c r="O27" i="156"/>
  <c r="K27" i="156"/>
  <c r="G13" i="155" s="1"/>
  <c r="V26" i="156"/>
  <c r="M26" i="156" s="1"/>
  <c r="U26" i="156"/>
  <c r="O26" i="156"/>
  <c r="K26" i="156"/>
  <c r="G26" i="156"/>
  <c r="V25" i="156"/>
  <c r="U25" i="156"/>
  <c r="O25" i="156"/>
  <c r="M25" i="156"/>
  <c r="AE25" i="156" s="1"/>
  <c r="K25" i="156"/>
  <c r="G25" i="156"/>
  <c r="V24" i="156"/>
  <c r="M24" i="156" s="1"/>
  <c r="U24" i="156"/>
  <c r="O24" i="156"/>
  <c r="K24" i="156"/>
  <c r="G24" i="156"/>
  <c r="V23" i="156"/>
  <c r="U23" i="156"/>
  <c r="O23" i="156"/>
  <c r="M23" i="156"/>
  <c r="AF23" i="156" s="1"/>
  <c r="K23" i="156"/>
  <c r="G23" i="156"/>
  <c r="V22" i="156"/>
  <c r="M22" i="156" s="1"/>
  <c r="U22" i="156"/>
  <c r="O22" i="156"/>
  <c r="K22" i="156"/>
  <c r="G22" i="156"/>
  <c r="V21" i="156"/>
  <c r="O21" i="156"/>
  <c r="M21" i="156"/>
  <c r="AE21" i="156" s="1"/>
  <c r="K21" i="156"/>
  <c r="G21" i="156"/>
  <c r="AD20" i="156"/>
  <c r="Z20" i="156"/>
  <c r="Y20" i="156"/>
  <c r="F18" i="155" s="1"/>
  <c r="O20" i="156"/>
  <c r="K20" i="156"/>
  <c r="V19" i="156"/>
  <c r="U19" i="156"/>
  <c r="O19" i="156"/>
  <c r="M19" i="156"/>
  <c r="AF19" i="156" s="1"/>
  <c r="K19" i="156"/>
  <c r="G19" i="156"/>
  <c r="V18" i="156"/>
  <c r="U18" i="156"/>
  <c r="O18" i="156"/>
  <c r="M18" i="156"/>
  <c r="AE18" i="156" s="1"/>
  <c r="K18" i="156"/>
  <c r="G18" i="156"/>
  <c r="V17" i="156"/>
  <c r="M17" i="156" s="1"/>
  <c r="U17" i="156"/>
  <c r="O17" i="156"/>
  <c r="K17" i="156"/>
  <c r="G17" i="156"/>
  <c r="V16" i="156"/>
  <c r="U16" i="156"/>
  <c r="O16" i="156"/>
  <c r="M16" i="156"/>
  <c r="AE16" i="156" s="1"/>
  <c r="K16" i="156"/>
  <c r="G16" i="156"/>
  <c r="V15" i="156"/>
  <c r="M15" i="156" s="1"/>
  <c r="U15" i="156"/>
  <c r="O15" i="156"/>
  <c r="K15" i="156"/>
  <c r="G15" i="156"/>
  <c r="X14" i="156"/>
  <c r="W14" i="156"/>
  <c r="V14" i="156"/>
  <c r="O14" i="156"/>
  <c r="M14" i="156"/>
  <c r="AE14" i="156" s="1"/>
  <c r="K14" i="156"/>
  <c r="G14" i="156"/>
  <c r="AD13" i="156"/>
  <c r="Z13" i="156"/>
  <c r="Y13" i="156"/>
  <c r="E18" i="155" s="1"/>
  <c r="O13" i="156"/>
  <c r="K13" i="156"/>
  <c r="V12" i="156"/>
  <c r="U12" i="156"/>
  <c r="O12" i="156"/>
  <c r="M12" i="156"/>
  <c r="AF12" i="156" s="1"/>
  <c r="K12" i="156"/>
  <c r="G12" i="156"/>
  <c r="V11" i="156"/>
  <c r="U11" i="156"/>
  <c r="O11" i="156"/>
  <c r="M11" i="156"/>
  <c r="AE11" i="156" s="1"/>
  <c r="K11" i="156"/>
  <c r="G11" i="156"/>
  <c r="X10" i="156"/>
  <c r="W10" i="156"/>
  <c r="V10" i="156"/>
  <c r="M10" i="156" s="1"/>
  <c r="U10" i="156"/>
  <c r="O10" i="156"/>
  <c r="K10" i="156"/>
  <c r="G10" i="156"/>
  <c r="V9" i="156"/>
  <c r="U9" i="156"/>
  <c r="O9" i="156"/>
  <c r="M9" i="156"/>
  <c r="AF9" i="156" s="1"/>
  <c r="K9" i="156"/>
  <c r="G9" i="156"/>
  <c r="F1" i="156" s="1"/>
  <c r="AF8" i="156"/>
  <c r="AE8" i="156"/>
  <c r="X8" i="156"/>
  <c r="W8" i="156"/>
  <c r="V8" i="156"/>
  <c r="O8" i="156"/>
  <c r="M8" i="156"/>
  <c r="N8" i="156" s="1"/>
  <c r="K8" i="156"/>
  <c r="G8" i="156"/>
  <c r="AD7" i="156"/>
  <c r="AD2" i="156" s="1"/>
  <c r="N6" i="155" s="1"/>
  <c r="Z7" i="156"/>
  <c r="Z2" i="156" s="1"/>
  <c r="L6" i="155" s="1"/>
  <c r="Y7" i="156"/>
  <c r="D18" i="155" s="1"/>
  <c r="O7" i="156"/>
  <c r="K7" i="156"/>
  <c r="V6" i="156"/>
  <c r="U6" i="156"/>
  <c r="O6" i="156"/>
  <c r="M6" i="156"/>
  <c r="AF6" i="156" s="1"/>
  <c r="K6" i="156"/>
  <c r="G6" i="156"/>
  <c r="V5" i="156"/>
  <c r="M5" i="156" s="1"/>
  <c r="O5" i="156"/>
  <c r="K5" i="156"/>
  <c r="G5" i="156"/>
  <c r="H2" i="156"/>
  <c r="H1" i="156"/>
  <c r="D1" i="156"/>
  <c r="F3" i="155" s="1"/>
  <c r="M22" i="155"/>
  <c r="L22" i="155"/>
  <c r="K22" i="155"/>
  <c r="J22" i="155"/>
  <c r="I22" i="155"/>
  <c r="H22" i="155"/>
  <c r="G22" i="155"/>
  <c r="F22" i="155"/>
  <c r="E22" i="155"/>
  <c r="D22" i="155"/>
  <c r="M21" i="155"/>
  <c r="K21" i="155"/>
  <c r="I21" i="155"/>
  <c r="G21" i="155"/>
  <c r="F21" i="155"/>
  <c r="E21" i="155"/>
  <c r="D21" i="155"/>
  <c r="M20" i="155"/>
  <c r="L20" i="155"/>
  <c r="K20" i="155"/>
  <c r="J20" i="155"/>
  <c r="I20" i="155"/>
  <c r="H20" i="155"/>
  <c r="G20" i="155"/>
  <c r="F20" i="155"/>
  <c r="E20" i="155"/>
  <c r="D20" i="155"/>
  <c r="M19" i="155"/>
  <c r="K19" i="155"/>
  <c r="J19" i="155"/>
  <c r="I19" i="155"/>
  <c r="G19" i="155"/>
  <c r="F19" i="155"/>
  <c r="E19" i="155"/>
  <c r="M18" i="155"/>
  <c r="K18" i="155"/>
  <c r="J18" i="155"/>
  <c r="I18" i="155"/>
  <c r="H18" i="155"/>
  <c r="M17" i="155"/>
  <c r="L17" i="155"/>
  <c r="K17" i="155"/>
  <c r="J17" i="155"/>
  <c r="I17" i="155"/>
  <c r="H17" i="155"/>
  <c r="G17" i="155"/>
  <c r="F17" i="155"/>
  <c r="E17" i="155"/>
  <c r="D17" i="155"/>
  <c r="M16" i="155"/>
  <c r="L16" i="155"/>
  <c r="K16" i="155"/>
  <c r="J16" i="155"/>
  <c r="I16" i="155"/>
  <c r="H16" i="155"/>
  <c r="G16" i="155"/>
  <c r="F16" i="155"/>
  <c r="E16" i="155"/>
  <c r="D16" i="155"/>
  <c r="L13" i="155"/>
  <c r="F13" i="155"/>
  <c r="E13" i="155"/>
  <c r="D13" i="155"/>
  <c r="G6" i="155" s="1"/>
  <c r="M6" i="155"/>
  <c r="C3" i="155"/>
  <c r="I7" i="161" l="1"/>
  <c r="D15" i="161"/>
  <c r="G7" i="161"/>
  <c r="F7" i="161"/>
  <c r="E7" i="161"/>
  <c r="I8" i="161"/>
  <c r="Q28" i="160"/>
  <c r="R22" i="160" s="1"/>
  <c r="P28" i="160"/>
  <c r="G14" i="159"/>
  <c r="D2" i="160"/>
  <c r="M14" i="159"/>
  <c r="M15" i="159" s="1"/>
  <c r="Q71" i="160"/>
  <c r="R64" i="160" s="1"/>
  <c r="P71" i="160"/>
  <c r="L15" i="159"/>
  <c r="Q44" i="158"/>
  <c r="P44" i="158"/>
  <c r="Q61" i="158"/>
  <c r="P61" i="158"/>
  <c r="P58" i="158"/>
  <c r="Q58" i="158"/>
  <c r="P8" i="158"/>
  <c r="Q8" i="158"/>
  <c r="Q24" i="158"/>
  <c r="P24" i="158"/>
  <c r="Q62" i="158"/>
  <c r="P62" i="158"/>
  <c r="Q54" i="158"/>
  <c r="P54" i="158"/>
  <c r="P14" i="158"/>
  <c r="Q14" i="158"/>
  <c r="P65" i="158"/>
  <c r="Q65" i="158"/>
  <c r="Q34" i="158"/>
  <c r="P34" i="158"/>
  <c r="P46" i="158"/>
  <c r="Q46" i="158"/>
  <c r="Q66" i="158"/>
  <c r="P66" i="158"/>
  <c r="Q17" i="158"/>
  <c r="P17" i="158"/>
  <c r="AF55" i="158"/>
  <c r="AG48" i="158" s="1"/>
  <c r="AE55" i="158"/>
  <c r="N55" i="158"/>
  <c r="Q35" i="158"/>
  <c r="P35" i="158"/>
  <c r="N47" i="158"/>
  <c r="AF47" i="158"/>
  <c r="AG44" i="158" s="1"/>
  <c r="AE47" i="158"/>
  <c r="AF68" i="158"/>
  <c r="AG61" i="158" s="1"/>
  <c r="AE68" i="158"/>
  <c r="N68" i="158"/>
  <c r="P59" i="158"/>
  <c r="Q59" i="158"/>
  <c r="Q63" i="158"/>
  <c r="P63" i="158"/>
  <c r="Q31" i="158"/>
  <c r="P31" i="158"/>
  <c r="P50" i="158"/>
  <c r="Q50" i="158"/>
  <c r="Q45" i="158"/>
  <c r="P45" i="158"/>
  <c r="Q56" i="158"/>
  <c r="P56" i="158"/>
  <c r="Q38" i="158"/>
  <c r="P38" i="158"/>
  <c r="Q16" i="158"/>
  <c r="P16" i="158"/>
  <c r="N28" i="158"/>
  <c r="AF28" i="158"/>
  <c r="AG22" i="158" s="1"/>
  <c r="AE28" i="158"/>
  <c r="Q64" i="158"/>
  <c r="P64" i="158"/>
  <c r="Q42" i="158"/>
  <c r="P42" i="158"/>
  <c r="Q52" i="158"/>
  <c r="P52" i="158"/>
  <c r="Q30" i="158"/>
  <c r="P30" i="158"/>
  <c r="Q20" i="158"/>
  <c r="P20" i="158"/>
  <c r="P15" i="158"/>
  <c r="Q15" i="158"/>
  <c r="Q57" i="158"/>
  <c r="P57" i="158"/>
  <c r="Q41" i="158"/>
  <c r="P41" i="158"/>
  <c r="P39" i="158"/>
  <c r="Q39" i="158"/>
  <c r="N60" i="158"/>
  <c r="AE60" i="158"/>
  <c r="AF60" i="158"/>
  <c r="AG56" i="158" s="1"/>
  <c r="AF7" i="158"/>
  <c r="AG5" i="158" s="1"/>
  <c r="AE7" i="158"/>
  <c r="N7" i="158"/>
  <c r="Q23" i="158"/>
  <c r="P23" i="158"/>
  <c r="N21" i="158"/>
  <c r="AE21" i="158"/>
  <c r="AF21" i="158"/>
  <c r="AG13" i="158" s="1"/>
  <c r="Q26" i="158"/>
  <c r="P26" i="158"/>
  <c r="P49" i="158"/>
  <c r="Q49" i="158"/>
  <c r="AF43" i="158"/>
  <c r="AG37" i="158" s="1"/>
  <c r="AE43" i="158"/>
  <c r="N43" i="158"/>
  <c r="P13" i="158"/>
  <c r="Q13" i="158"/>
  <c r="AF36" i="158"/>
  <c r="AG29" i="158" s="1"/>
  <c r="AE36" i="158"/>
  <c r="N36" i="158"/>
  <c r="Q51" i="158"/>
  <c r="P51" i="158"/>
  <c r="Q10" i="158"/>
  <c r="P10" i="158"/>
  <c r="P27" i="158"/>
  <c r="Q27" i="158"/>
  <c r="P5" i="158"/>
  <c r="Q5" i="158"/>
  <c r="AF12" i="158"/>
  <c r="AG8" i="158" s="1"/>
  <c r="AE12" i="158"/>
  <c r="N12" i="158"/>
  <c r="Q22" i="158"/>
  <c r="P22" i="158"/>
  <c r="P9" i="158"/>
  <c r="Q9" i="158"/>
  <c r="Q37" i="158"/>
  <c r="P37" i="158"/>
  <c r="N10" i="156"/>
  <c r="AF10" i="156"/>
  <c r="AE10" i="156"/>
  <c r="M7" i="156"/>
  <c r="N5" i="156"/>
  <c r="AF5" i="156"/>
  <c r="AE5" i="156"/>
  <c r="N22" i="156"/>
  <c r="AF22" i="156"/>
  <c r="AE22" i="156"/>
  <c r="P41" i="156"/>
  <c r="Q41" i="156"/>
  <c r="I3" i="155"/>
  <c r="F2" i="156"/>
  <c r="N15" i="156"/>
  <c r="AF15" i="156"/>
  <c r="AE15" i="156"/>
  <c r="N26" i="156"/>
  <c r="AE26" i="156"/>
  <c r="AF26" i="156"/>
  <c r="Q50" i="156"/>
  <c r="P50" i="156"/>
  <c r="N66" i="156"/>
  <c r="AF66" i="156"/>
  <c r="AE66" i="156"/>
  <c r="N54" i="156"/>
  <c r="AE54" i="156"/>
  <c r="AF54" i="156"/>
  <c r="N17" i="156"/>
  <c r="AE17" i="156"/>
  <c r="AF17" i="156"/>
  <c r="N38" i="156"/>
  <c r="AE38" i="156"/>
  <c r="AF38" i="156"/>
  <c r="P8" i="156"/>
  <c r="Q8" i="156"/>
  <c r="N59" i="156"/>
  <c r="AF59" i="156"/>
  <c r="AE59" i="156"/>
  <c r="N63" i="156"/>
  <c r="AF63" i="156"/>
  <c r="AE63" i="156"/>
  <c r="M71" i="156"/>
  <c r="N43" i="156"/>
  <c r="AF43" i="156"/>
  <c r="AE43" i="156"/>
  <c r="N61" i="156"/>
  <c r="AE61" i="156"/>
  <c r="AF61" i="156"/>
  <c r="N31" i="156"/>
  <c r="AE31" i="156"/>
  <c r="AF31" i="156"/>
  <c r="N68" i="156"/>
  <c r="AE68" i="156"/>
  <c r="AF68" i="156"/>
  <c r="N24" i="156"/>
  <c r="AF24" i="156"/>
  <c r="AE24" i="156"/>
  <c r="N52" i="156"/>
  <c r="AF52" i="156"/>
  <c r="AE52" i="156"/>
  <c r="N29" i="156"/>
  <c r="AF29" i="156"/>
  <c r="AE29" i="156"/>
  <c r="N28" i="156"/>
  <c r="N40" i="156"/>
  <c r="N47" i="156"/>
  <c r="N70" i="156"/>
  <c r="N65" i="156"/>
  <c r="D19" i="155"/>
  <c r="N9" i="156"/>
  <c r="N23" i="156"/>
  <c r="N30" i="156"/>
  <c r="N51" i="156"/>
  <c r="N60" i="156"/>
  <c r="M62" i="156"/>
  <c r="N67" i="156"/>
  <c r="N12" i="156"/>
  <c r="N19" i="156"/>
  <c r="N33" i="156"/>
  <c r="M49" i="156"/>
  <c r="N56" i="156"/>
  <c r="N14" i="156"/>
  <c r="N21" i="156"/>
  <c r="N35" i="156"/>
  <c r="N58" i="156"/>
  <c r="N37" i="156"/>
  <c r="N42" i="156"/>
  <c r="N6" i="156"/>
  <c r="N11" i="156"/>
  <c r="M13" i="156"/>
  <c r="N18" i="156"/>
  <c r="M20" i="156"/>
  <c r="AF21" i="156"/>
  <c r="AF28" i="156"/>
  <c r="AF35" i="156"/>
  <c r="N39" i="156"/>
  <c r="N55" i="156"/>
  <c r="M57" i="156"/>
  <c r="AF58" i="156"/>
  <c r="AE65" i="156"/>
  <c r="N69" i="156"/>
  <c r="F6" i="155"/>
  <c r="Y2" i="156"/>
  <c r="K6" i="155" s="1"/>
  <c r="AE9" i="156"/>
  <c r="AF14" i="156"/>
  <c r="AE23" i="156"/>
  <c r="AE30" i="156"/>
  <c r="N34" i="156"/>
  <c r="M36" i="156"/>
  <c r="AF42" i="156"/>
  <c r="N48" i="156"/>
  <c r="AE51" i="156"/>
  <c r="AE60" i="156"/>
  <c r="AE12" i="156"/>
  <c r="AE19" i="156"/>
  <c r="AE33" i="156"/>
  <c r="AE40" i="156"/>
  <c r="N44" i="156"/>
  <c r="AE47" i="156"/>
  <c r="AE56" i="156"/>
  <c r="AE70" i="156"/>
  <c r="N16" i="156"/>
  <c r="N25" i="156"/>
  <c r="M27" i="156"/>
  <c r="N32" i="156"/>
  <c r="N53" i="156"/>
  <c r="N46" i="156"/>
  <c r="E6" i="155"/>
  <c r="AF16" i="156"/>
  <c r="AF25" i="156"/>
  <c r="AF53" i="156"/>
  <c r="P64" i="156"/>
  <c r="AF67" i="156"/>
  <c r="AE6" i="156"/>
  <c r="AE32" i="156"/>
  <c r="M45" i="156"/>
  <c r="AF46" i="156"/>
  <c r="AE55" i="156"/>
  <c r="AF11" i="156"/>
  <c r="AF18" i="156"/>
  <c r="AF39" i="156"/>
  <c r="AF69" i="156"/>
  <c r="AE34" i="156"/>
  <c r="AE48" i="156"/>
  <c r="AE37" i="156"/>
  <c r="AE44" i="156"/>
  <c r="AD65" i="152"/>
  <c r="Z65" i="152"/>
  <c r="Y65" i="152"/>
  <c r="O65" i="152"/>
  <c r="K65" i="152"/>
  <c r="V64" i="152"/>
  <c r="U64" i="152"/>
  <c r="O64" i="152"/>
  <c r="M64" i="152"/>
  <c r="AF64" i="152" s="1"/>
  <c r="K64" i="152"/>
  <c r="G64" i="152"/>
  <c r="V63" i="152"/>
  <c r="M63" i="152" s="1"/>
  <c r="U63" i="152"/>
  <c r="O63" i="152"/>
  <c r="K63" i="152"/>
  <c r="G63" i="152"/>
  <c r="AF62" i="152"/>
  <c r="AE62" i="152"/>
  <c r="V62" i="152"/>
  <c r="M62" i="152" s="1"/>
  <c r="N62" i="152" s="1"/>
  <c r="U62" i="152"/>
  <c r="Q62" i="152"/>
  <c r="P62" i="152"/>
  <c r="O62" i="152"/>
  <c r="K62" i="152"/>
  <c r="G62" i="152"/>
  <c r="V61" i="152"/>
  <c r="U61" i="152"/>
  <c r="O61" i="152"/>
  <c r="M61" i="152"/>
  <c r="K61" i="152"/>
  <c r="G61" i="152"/>
  <c r="AF60" i="152"/>
  <c r="AE60" i="152"/>
  <c r="X60" i="152"/>
  <c r="W60" i="152"/>
  <c r="V60" i="152"/>
  <c r="O60" i="152"/>
  <c r="M60" i="152"/>
  <c r="N60" i="152" s="1"/>
  <c r="K60" i="152"/>
  <c r="G60" i="152"/>
  <c r="AD59" i="152"/>
  <c r="Z59" i="152"/>
  <c r="Y59" i="152"/>
  <c r="J18" i="151" s="1"/>
  <c r="O59" i="152"/>
  <c r="M59" i="152"/>
  <c r="N59" i="152" s="1"/>
  <c r="K59" i="152"/>
  <c r="V58" i="152"/>
  <c r="M58" i="152" s="1"/>
  <c r="U58" i="152"/>
  <c r="O58" i="152"/>
  <c r="K58" i="152"/>
  <c r="G58" i="152"/>
  <c r="AE57" i="152"/>
  <c r="V57" i="152"/>
  <c r="U57" i="152"/>
  <c r="O57" i="152"/>
  <c r="N57" i="152"/>
  <c r="Q57" i="152" s="1"/>
  <c r="M57" i="152"/>
  <c r="AF57" i="152" s="1"/>
  <c r="K57" i="152"/>
  <c r="G57" i="152"/>
  <c r="V56" i="152"/>
  <c r="M56" i="152" s="1"/>
  <c r="U56" i="152"/>
  <c r="O56" i="152"/>
  <c r="K56" i="152"/>
  <c r="G56" i="152"/>
  <c r="AF55" i="152"/>
  <c r="AE55" i="152"/>
  <c r="V55" i="152"/>
  <c r="M55" i="152" s="1"/>
  <c r="N55" i="152" s="1"/>
  <c r="Q55" i="152"/>
  <c r="P55" i="152"/>
  <c r="O55" i="152"/>
  <c r="K55" i="152"/>
  <c r="G55" i="152"/>
  <c r="AD54" i="152"/>
  <c r="I21" i="151" s="1"/>
  <c r="Z54" i="152"/>
  <c r="Y54" i="152"/>
  <c r="O54" i="152"/>
  <c r="M54" i="152"/>
  <c r="N54" i="152" s="1"/>
  <c r="K54" i="152"/>
  <c r="AF53" i="152"/>
  <c r="AE53" i="152"/>
  <c r="V53" i="152"/>
  <c r="M53" i="152" s="1"/>
  <c r="N53" i="152" s="1"/>
  <c r="U53" i="152"/>
  <c r="O53" i="152"/>
  <c r="K53" i="152"/>
  <c r="G53" i="152"/>
  <c r="V52" i="152"/>
  <c r="U52" i="152"/>
  <c r="P52" i="152"/>
  <c r="O52" i="152"/>
  <c r="N52" i="152"/>
  <c r="Q52" i="152" s="1"/>
  <c r="M52" i="152"/>
  <c r="K52" i="152"/>
  <c r="G52" i="152"/>
  <c r="AF51" i="152"/>
  <c r="AE51" i="152"/>
  <c r="V51" i="152"/>
  <c r="U51" i="152"/>
  <c r="O51" i="152"/>
  <c r="M51" i="152"/>
  <c r="N51" i="152" s="1"/>
  <c r="K51" i="152"/>
  <c r="G51" i="152"/>
  <c r="V50" i="152"/>
  <c r="U50" i="152"/>
  <c r="Q50" i="152"/>
  <c r="P50" i="152"/>
  <c r="O50" i="152"/>
  <c r="N50" i="152"/>
  <c r="M50" i="152"/>
  <c r="K50" i="152"/>
  <c r="G50" i="152"/>
  <c r="V49" i="152"/>
  <c r="M49" i="152" s="1"/>
  <c r="U49" i="152"/>
  <c r="O49" i="152"/>
  <c r="K49" i="152"/>
  <c r="G49" i="152"/>
  <c r="AE48" i="152"/>
  <c r="V48" i="152"/>
  <c r="U48" i="152"/>
  <c r="O48" i="152"/>
  <c r="N48" i="152"/>
  <c r="Q48" i="152" s="1"/>
  <c r="M48" i="152"/>
  <c r="AF48" i="152" s="1"/>
  <c r="K48" i="152"/>
  <c r="G48" i="152"/>
  <c r="V47" i="152"/>
  <c r="O47" i="152"/>
  <c r="M47" i="152"/>
  <c r="AF47" i="152" s="1"/>
  <c r="K47" i="152"/>
  <c r="G47" i="152"/>
  <c r="AD46" i="152"/>
  <c r="H21" i="151" s="1"/>
  <c r="Z46" i="152"/>
  <c r="H19" i="151" s="1"/>
  <c r="Y46" i="152"/>
  <c r="H18" i="151" s="1"/>
  <c r="O46" i="152"/>
  <c r="K46" i="152"/>
  <c r="V45" i="152"/>
  <c r="U45" i="152"/>
  <c r="O45" i="152"/>
  <c r="N45" i="152"/>
  <c r="M45" i="152"/>
  <c r="K45" i="152"/>
  <c r="G45" i="152"/>
  <c r="AF44" i="152"/>
  <c r="AE44" i="152"/>
  <c r="V44" i="152"/>
  <c r="M44" i="152" s="1"/>
  <c r="N44" i="152" s="1"/>
  <c r="U44" i="152"/>
  <c r="O44" i="152"/>
  <c r="K44" i="152"/>
  <c r="G44" i="152"/>
  <c r="V43" i="152"/>
  <c r="O43" i="152"/>
  <c r="N43" i="152"/>
  <c r="Q43" i="152" s="1"/>
  <c r="M43" i="152"/>
  <c r="K43" i="152"/>
  <c r="G43" i="152"/>
  <c r="AD42" i="152"/>
  <c r="Z42" i="152"/>
  <c r="Y42" i="152"/>
  <c r="O42" i="152"/>
  <c r="K42" i="152"/>
  <c r="V41" i="152"/>
  <c r="U41" i="152"/>
  <c r="O41" i="152"/>
  <c r="M41" i="152"/>
  <c r="N41" i="152" s="1"/>
  <c r="K41" i="152"/>
  <c r="G41" i="152"/>
  <c r="V40" i="152"/>
  <c r="U40" i="152"/>
  <c r="O40" i="152"/>
  <c r="M40" i="152"/>
  <c r="AF40" i="152" s="1"/>
  <c r="K40" i="152"/>
  <c r="G40" i="152"/>
  <c r="AF39" i="152"/>
  <c r="AE39" i="152"/>
  <c r="X39" i="152"/>
  <c r="W39" i="152"/>
  <c r="V39" i="152"/>
  <c r="M39" i="152" s="1"/>
  <c r="N39" i="152" s="1"/>
  <c r="U39" i="152"/>
  <c r="Q39" i="152"/>
  <c r="P39" i="152"/>
  <c r="O39" i="152"/>
  <c r="K39" i="152"/>
  <c r="G39" i="152"/>
  <c r="V38" i="152"/>
  <c r="U38" i="152"/>
  <c r="O38" i="152"/>
  <c r="N38" i="152"/>
  <c r="M38" i="152"/>
  <c r="K38" i="152"/>
  <c r="G38" i="152"/>
  <c r="AF37" i="152"/>
  <c r="AE37" i="152"/>
  <c r="V37" i="152"/>
  <c r="M37" i="152" s="1"/>
  <c r="N37" i="152" s="1"/>
  <c r="U37" i="152"/>
  <c r="O37" i="152"/>
  <c r="K37" i="152"/>
  <c r="G37" i="152"/>
  <c r="V36" i="152"/>
  <c r="U36" i="152"/>
  <c r="P36" i="152"/>
  <c r="O36" i="152"/>
  <c r="N36" i="152"/>
  <c r="Q36" i="152" s="1"/>
  <c r="M36" i="152"/>
  <c r="K36" i="152"/>
  <c r="G36" i="152"/>
  <c r="AF35" i="152"/>
  <c r="X35" i="152"/>
  <c r="W35" i="152"/>
  <c r="V35" i="152"/>
  <c r="O35" i="152"/>
  <c r="M35" i="152"/>
  <c r="AE35" i="152" s="1"/>
  <c r="K35" i="152"/>
  <c r="G35" i="152"/>
  <c r="AD34" i="152"/>
  <c r="Z34" i="152"/>
  <c r="Y34" i="152"/>
  <c r="K18" i="151" s="1"/>
  <c r="O34" i="152"/>
  <c r="K34" i="152"/>
  <c r="V33" i="152"/>
  <c r="U33" i="152"/>
  <c r="O33" i="152"/>
  <c r="M33" i="152"/>
  <c r="AF33" i="152" s="1"/>
  <c r="K33" i="152"/>
  <c r="G33" i="152"/>
  <c r="AF32" i="152"/>
  <c r="AE32" i="152"/>
  <c r="V32" i="152"/>
  <c r="M32" i="152" s="1"/>
  <c r="N32" i="152" s="1"/>
  <c r="U32" i="152"/>
  <c r="Q32" i="152"/>
  <c r="P32" i="152"/>
  <c r="O32" i="152"/>
  <c r="K32" i="152"/>
  <c r="G32" i="152"/>
  <c r="X31" i="152"/>
  <c r="W31" i="152"/>
  <c r="V31" i="152"/>
  <c r="U31" i="152"/>
  <c r="P31" i="152"/>
  <c r="O31" i="152"/>
  <c r="N31" i="152"/>
  <c r="Q31" i="152" s="1"/>
  <c r="M31" i="152"/>
  <c r="K31" i="152"/>
  <c r="G31" i="152"/>
  <c r="AF30" i="152"/>
  <c r="AE30" i="152"/>
  <c r="V30" i="152"/>
  <c r="U30" i="152"/>
  <c r="O30" i="152"/>
  <c r="M30" i="152"/>
  <c r="N30" i="152" s="1"/>
  <c r="K30" i="152"/>
  <c r="G30" i="152"/>
  <c r="V29" i="152"/>
  <c r="U29" i="152"/>
  <c r="Q29" i="152"/>
  <c r="P29" i="152"/>
  <c r="O29" i="152"/>
  <c r="N29" i="152"/>
  <c r="M29" i="152"/>
  <c r="K29" i="152"/>
  <c r="G29" i="152"/>
  <c r="V28" i="152"/>
  <c r="M28" i="152" s="1"/>
  <c r="U28" i="152"/>
  <c r="O28" i="152"/>
  <c r="K28" i="152"/>
  <c r="G28" i="152"/>
  <c r="AF27" i="152"/>
  <c r="AE27" i="152"/>
  <c r="X27" i="152"/>
  <c r="W27" i="152"/>
  <c r="V27" i="152"/>
  <c r="M27" i="152" s="1"/>
  <c r="O27" i="152"/>
  <c r="K27" i="152"/>
  <c r="G27" i="152"/>
  <c r="AD26" i="152"/>
  <c r="G21" i="151" s="1"/>
  <c r="Z26" i="152"/>
  <c r="Y26" i="152"/>
  <c r="O26" i="152"/>
  <c r="M26" i="152"/>
  <c r="N26" i="152" s="1"/>
  <c r="G14" i="151" s="1"/>
  <c r="G15" i="151" s="1"/>
  <c r="K26" i="152"/>
  <c r="AF25" i="152"/>
  <c r="AE25" i="152"/>
  <c r="V25" i="152"/>
  <c r="M25" i="152" s="1"/>
  <c r="N25" i="152" s="1"/>
  <c r="U25" i="152"/>
  <c r="O25" i="152"/>
  <c r="K25" i="152"/>
  <c r="G25" i="152"/>
  <c r="V24" i="152"/>
  <c r="U24" i="152"/>
  <c r="P24" i="152"/>
  <c r="O24" i="152"/>
  <c r="N24" i="152"/>
  <c r="Q24" i="152" s="1"/>
  <c r="M24" i="152"/>
  <c r="K24" i="152"/>
  <c r="G24" i="152"/>
  <c r="AF23" i="152"/>
  <c r="AE23" i="152"/>
  <c r="V23" i="152"/>
  <c r="U23" i="152"/>
  <c r="O23" i="152"/>
  <c r="M23" i="152"/>
  <c r="N23" i="152" s="1"/>
  <c r="K23" i="152"/>
  <c r="G23" i="152"/>
  <c r="V22" i="152"/>
  <c r="U22" i="152"/>
  <c r="Q22" i="152"/>
  <c r="P22" i="152"/>
  <c r="O22" i="152"/>
  <c r="N22" i="152"/>
  <c r="M22" i="152"/>
  <c r="K22" i="152"/>
  <c r="G22" i="152"/>
  <c r="V21" i="152"/>
  <c r="M21" i="152" s="1"/>
  <c r="U21" i="152"/>
  <c r="O21" i="152"/>
  <c r="K21" i="152"/>
  <c r="G21" i="152"/>
  <c r="AF20" i="152"/>
  <c r="AE20" i="152"/>
  <c r="V20" i="152"/>
  <c r="M20" i="152" s="1"/>
  <c r="Q20" i="152"/>
  <c r="P20" i="152"/>
  <c r="O20" i="152"/>
  <c r="N20" i="152"/>
  <c r="K20" i="152"/>
  <c r="G20" i="152"/>
  <c r="AD19" i="152"/>
  <c r="F21" i="151" s="1"/>
  <c r="Z19" i="152"/>
  <c r="F19" i="151" s="1"/>
  <c r="Y19" i="152"/>
  <c r="O19" i="152"/>
  <c r="M19" i="152"/>
  <c r="K19" i="152"/>
  <c r="AF18" i="152"/>
  <c r="AE18" i="152"/>
  <c r="V18" i="152"/>
  <c r="M18" i="152" s="1"/>
  <c r="N18" i="152" s="1"/>
  <c r="U18" i="152"/>
  <c r="Q18" i="152"/>
  <c r="P18" i="152"/>
  <c r="O18" i="152"/>
  <c r="K18" i="152"/>
  <c r="G18" i="152"/>
  <c r="V17" i="152"/>
  <c r="U17" i="152"/>
  <c r="O17" i="152"/>
  <c r="N17" i="152"/>
  <c r="M17" i="152"/>
  <c r="K17" i="152"/>
  <c r="G17" i="152"/>
  <c r="AF16" i="152"/>
  <c r="AE16" i="152"/>
  <c r="V16" i="152"/>
  <c r="M16" i="152" s="1"/>
  <c r="N16" i="152" s="1"/>
  <c r="U16" i="152"/>
  <c r="O16" i="152"/>
  <c r="K16" i="152"/>
  <c r="G16" i="152"/>
  <c r="V15" i="152"/>
  <c r="U15" i="152"/>
  <c r="O15" i="152"/>
  <c r="N15" i="152"/>
  <c r="Q15" i="152" s="1"/>
  <c r="M15" i="152"/>
  <c r="K15" i="152"/>
  <c r="G15" i="152"/>
  <c r="AF14" i="152"/>
  <c r="AE14" i="152"/>
  <c r="V14" i="152"/>
  <c r="U14" i="152"/>
  <c r="O14" i="152"/>
  <c r="M14" i="152"/>
  <c r="N14" i="152" s="1"/>
  <c r="K14" i="152"/>
  <c r="G14" i="152"/>
  <c r="X13" i="152"/>
  <c r="W13" i="152"/>
  <c r="V13" i="152"/>
  <c r="M13" i="152" s="1"/>
  <c r="O13" i="152"/>
  <c r="N13" i="152"/>
  <c r="Q13" i="152" s="1"/>
  <c r="K13" i="152"/>
  <c r="G13" i="152"/>
  <c r="AD12" i="152"/>
  <c r="Z12" i="152"/>
  <c r="Y12" i="152"/>
  <c r="O12" i="152"/>
  <c r="M12" i="152"/>
  <c r="K12" i="152"/>
  <c r="AF11" i="152"/>
  <c r="AE11" i="152"/>
  <c r="V11" i="152"/>
  <c r="M11" i="152" s="1"/>
  <c r="N11" i="152" s="1"/>
  <c r="U11" i="152"/>
  <c r="Q11" i="152"/>
  <c r="P11" i="152"/>
  <c r="O11" i="152"/>
  <c r="K11" i="152"/>
  <c r="G11" i="152"/>
  <c r="X10" i="152"/>
  <c r="W10" i="152"/>
  <c r="V10" i="152"/>
  <c r="U10" i="152"/>
  <c r="O10" i="152"/>
  <c r="N10" i="152"/>
  <c r="Q10" i="152" s="1"/>
  <c r="M10" i="152"/>
  <c r="K10" i="152"/>
  <c r="G10" i="152"/>
  <c r="AF9" i="152"/>
  <c r="AE9" i="152"/>
  <c r="V9" i="152"/>
  <c r="U9" i="152"/>
  <c r="O9" i="152"/>
  <c r="M9" i="152"/>
  <c r="N9" i="152" s="1"/>
  <c r="K9" i="152"/>
  <c r="G9" i="152"/>
  <c r="X8" i="152"/>
  <c r="W8" i="152"/>
  <c r="V8" i="152"/>
  <c r="M8" i="152" s="1"/>
  <c r="Q8" i="152"/>
  <c r="P8" i="152"/>
  <c r="O8" i="152"/>
  <c r="N8" i="152"/>
  <c r="K8" i="152"/>
  <c r="G8" i="152"/>
  <c r="AD7" i="152"/>
  <c r="Z7" i="152"/>
  <c r="Y7" i="152"/>
  <c r="O7" i="152"/>
  <c r="M7" i="152"/>
  <c r="K7" i="152"/>
  <c r="AF6" i="152"/>
  <c r="AE6" i="152"/>
  <c r="V6" i="152"/>
  <c r="M6" i="152" s="1"/>
  <c r="N6" i="152" s="1"/>
  <c r="U6" i="152"/>
  <c r="Q6" i="152"/>
  <c r="P6" i="152"/>
  <c r="O6" i="152"/>
  <c r="K6" i="152"/>
  <c r="G6" i="152"/>
  <c r="V5" i="152"/>
  <c r="O5" i="152"/>
  <c r="N5" i="152"/>
  <c r="M5" i="152"/>
  <c r="K5" i="152"/>
  <c r="G5" i="152"/>
  <c r="F1" i="152" s="1"/>
  <c r="F2" i="152" s="1"/>
  <c r="AD2" i="152"/>
  <c r="N6" i="151" s="1"/>
  <c r="Z2" i="152"/>
  <c r="Y2" i="152"/>
  <c r="H2" i="152"/>
  <c r="H1" i="152"/>
  <c r="D1" i="152"/>
  <c r="M22" i="151"/>
  <c r="L22" i="151"/>
  <c r="K22" i="151"/>
  <c r="J22" i="151"/>
  <c r="I22" i="151"/>
  <c r="H22" i="151"/>
  <c r="G22" i="151"/>
  <c r="F22" i="151"/>
  <c r="E22" i="151"/>
  <c r="D22" i="151"/>
  <c r="M21" i="151"/>
  <c r="L21" i="151"/>
  <c r="K21" i="151"/>
  <c r="J21" i="151"/>
  <c r="E21" i="151"/>
  <c r="D21" i="151"/>
  <c r="M20" i="151"/>
  <c r="L20" i="151"/>
  <c r="K20" i="151"/>
  <c r="J20" i="151"/>
  <c r="I20" i="151"/>
  <c r="H20" i="151"/>
  <c r="G20" i="151"/>
  <c r="F20" i="151"/>
  <c r="E20" i="151"/>
  <c r="D20" i="151"/>
  <c r="M19" i="151"/>
  <c r="L19" i="151"/>
  <c r="K19" i="151"/>
  <c r="J19" i="151"/>
  <c r="I19" i="151"/>
  <c r="G19" i="151"/>
  <c r="E19" i="151"/>
  <c r="D19" i="151"/>
  <c r="M18" i="151"/>
  <c r="L18" i="151"/>
  <c r="I18" i="151"/>
  <c r="G18" i="151"/>
  <c r="F18" i="151"/>
  <c r="E18" i="151"/>
  <c r="D18" i="151"/>
  <c r="M17" i="151"/>
  <c r="L17" i="151"/>
  <c r="K17" i="151"/>
  <c r="J17" i="151"/>
  <c r="I17" i="151"/>
  <c r="H17" i="151"/>
  <c r="G17" i="151"/>
  <c r="F17" i="151"/>
  <c r="E17" i="151"/>
  <c r="D17" i="151"/>
  <c r="M16" i="151"/>
  <c r="L16" i="151"/>
  <c r="K16" i="151"/>
  <c r="J16" i="151"/>
  <c r="I16" i="151"/>
  <c r="H16" i="151"/>
  <c r="G16" i="151"/>
  <c r="F16" i="151"/>
  <c r="E16" i="151"/>
  <c r="D16" i="151"/>
  <c r="M13" i="151"/>
  <c r="L13" i="151"/>
  <c r="K13" i="151"/>
  <c r="J13" i="151"/>
  <c r="I13" i="151"/>
  <c r="H13" i="151"/>
  <c r="G13" i="151"/>
  <c r="F13" i="151"/>
  <c r="E13" i="151"/>
  <c r="G6" i="151" s="1"/>
  <c r="D13" i="151"/>
  <c r="M6" i="151"/>
  <c r="L6" i="151"/>
  <c r="K6" i="151"/>
  <c r="I6" i="151"/>
  <c r="F6" i="151"/>
  <c r="F3" i="151"/>
  <c r="C3" i="151"/>
  <c r="E8" i="161" l="1"/>
  <c r="G8" i="161"/>
  <c r="F8" i="161"/>
  <c r="I7" i="159"/>
  <c r="I8" i="159"/>
  <c r="G15" i="159"/>
  <c r="F7" i="159"/>
  <c r="E7" i="159"/>
  <c r="G7" i="159"/>
  <c r="Q12" i="158"/>
  <c r="R8" i="158" s="1"/>
  <c r="P12" i="158"/>
  <c r="E14" i="157"/>
  <c r="E15" i="157" s="1"/>
  <c r="J14" i="157"/>
  <c r="J15" i="157" s="1"/>
  <c r="Q60" i="158"/>
  <c r="R56" i="158" s="1"/>
  <c r="P60" i="158"/>
  <c r="Q28" i="158"/>
  <c r="R22" i="158" s="1"/>
  <c r="G14" i="157"/>
  <c r="G15" i="157" s="1"/>
  <c r="P28" i="158"/>
  <c r="Q47" i="158"/>
  <c r="R44" i="158" s="1"/>
  <c r="P47" i="158"/>
  <c r="H14" i="157"/>
  <c r="H15" i="157" s="1"/>
  <c r="Q21" i="158"/>
  <c r="R13" i="158" s="1"/>
  <c r="P21" i="158"/>
  <c r="F14" i="157"/>
  <c r="F15" i="157" s="1"/>
  <c r="M14" i="157"/>
  <c r="M15" i="157" s="1"/>
  <c r="Q68" i="158"/>
  <c r="R61" i="158" s="1"/>
  <c r="P68" i="158"/>
  <c r="L14" i="157"/>
  <c r="L15" i="157" s="1"/>
  <c r="P43" i="158"/>
  <c r="Q43" i="158"/>
  <c r="R37" i="158" s="1"/>
  <c r="Q55" i="158"/>
  <c r="R48" i="158" s="1"/>
  <c r="P55" i="158"/>
  <c r="I14" i="157"/>
  <c r="I15" i="157" s="1"/>
  <c r="Q7" i="158"/>
  <c r="R5" i="158" s="1"/>
  <c r="P7" i="158"/>
  <c r="D2" i="158"/>
  <c r="D14" i="157"/>
  <c r="K14" i="157"/>
  <c r="Q36" i="158"/>
  <c r="R29" i="158" s="1"/>
  <c r="P36" i="158"/>
  <c r="Q26" i="156"/>
  <c r="P26" i="156"/>
  <c r="AE62" i="156"/>
  <c r="AF62" i="156"/>
  <c r="AG58" i="156" s="1"/>
  <c r="N62" i="156"/>
  <c r="Q60" i="156"/>
  <c r="P60" i="156"/>
  <c r="P15" i="156"/>
  <c r="Q15" i="156"/>
  <c r="Q51" i="156"/>
  <c r="P51" i="156"/>
  <c r="Q63" i="156"/>
  <c r="P63" i="156"/>
  <c r="Q19" i="156"/>
  <c r="P19" i="156"/>
  <c r="N45" i="156"/>
  <c r="AF45" i="156"/>
  <c r="AG37" i="156" s="1"/>
  <c r="AE45" i="156"/>
  <c r="Q68" i="156"/>
  <c r="P68" i="156"/>
  <c r="P33" i="156"/>
  <c r="Q33" i="156"/>
  <c r="P44" i="156"/>
  <c r="Q44" i="156"/>
  <c r="Q12" i="156"/>
  <c r="P12" i="156"/>
  <c r="Q67" i="156"/>
  <c r="P67" i="156"/>
  <c r="AF57" i="156"/>
  <c r="AG50" i="156" s="1"/>
  <c r="AE57" i="156"/>
  <c r="N57" i="156"/>
  <c r="Q55" i="156"/>
  <c r="P55" i="156"/>
  <c r="Q39" i="156"/>
  <c r="P39" i="156"/>
  <c r="P52" i="156"/>
  <c r="Q52" i="156"/>
  <c r="Q59" i="156"/>
  <c r="P59" i="156"/>
  <c r="Q38" i="156"/>
  <c r="P38" i="156"/>
  <c r="N36" i="156"/>
  <c r="AF36" i="156"/>
  <c r="AG28" i="156" s="1"/>
  <c r="AE36" i="156"/>
  <c r="Q11" i="156"/>
  <c r="P11" i="156"/>
  <c r="P34" i="156"/>
  <c r="Q34" i="156"/>
  <c r="Q17" i="156"/>
  <c r="P17" i="156"/>
  <c r="Q70" i="156"/>
  <c r="P70" i="156"/>
  <c r="Q53" i="156"/>
  <c r="P53" i="156"/>
  <c r="Q37" i="156"/>
  <c r="P37" i="156"/>
  <c r="P47" i="156"/>
  <c r="Q47" i="156"/>
  <c r="P61" i="156"/>
  <c r="Q61" i="156"/>
  <c r="Q32" i="156"/>
  <c r="P32" i="156"/>
  <c r="P58" i="156"/>
  <c r="Q58" i="156"/>
  <c r="P40" i="156"/>
  <c r="Q40" i="156"/>
  <c r="Q54" i="156"/>
  <c r="P54" i="156"/>
  <c r="AE27" i="156"/>
  <c r="AF27" i="156"/>
  <c r="AG21" i="156" s="1"/>
  <c r="N27" i="156"/>
  <c r="P35" i="156"/>
  <c r="Q35" i="156"/>
  <c r="Q28" i="156"/>
  <c r="P28" i="156"/>
  <c r="Q5" i="156"/>
  <c r="P5" i="156"/>
  <c r="Q30" i="156"/>
  <c r="P30" i="156"/>
  <c r="Q6" i="156"/>
  <c r="P6" i="156"/>
  <c r="P24" i="156"/>
  <c r="Q24" i="156"/>
  <c r="AF20" i="156"/>
  <c r="AG14" i="156" s="1"/>
  <c r="AE20" i="156"/>
  <c r="N20" i="156"/>
  <c r="P48" i="156"/>
  <c r="Q48" i="156"/>
  <c r="Q18" i="156"/>
  <c r="P18" i="156"/>
  <c r="Q23" i="156"/>
  <c r="P23" i="156"/>
  <c r="AF13" i="156"/>
  <c r="AG8" i="156" s="1"/>
  <c r="AE13" i="156"/>
  <c r="N13" i="156"/>
  <c r="Q9" i="156"/>
  <c r="P9" i="156"/>
  <c r="P31" i="156"/>
  <c r="Q31" i="156"/>
  <c r="P46" i="156"/>
  <c r="Q46" i="156"/>
  <c r="Q25" i="156"/>
  <c r="P25" i="156"/>
  <c r="AF7" i="156"/>
  <c r="AG5" i="156" s="1"/>
  <c r="AE7" i="156"/>
  <c r="N7" i="156"/>
  <c r="Q16" i="156"/>
  <c r="P16" i="156"/>
  <c r="P14" i="156"/>
  <c r="Q14" i="156"/>
  <c r="Q66" i="156"/>
  <c r="P66" i="156"/>
  <c r="Q69" i="156"/>
  <c r="P69" i="156"/>
  <c r="P56" i="156"/>
  <c r="Q56" i="156"/>
  <c r="Q29" i="156"/>
  <c r="P29" i="156"/>
  <c r="Q65" i="156"/>
  <c r="P65" i="156"/>
  <c r="Q42" i="156"/>
  <c r="P42" i="156"/>
  <c r="Q22" i="156"/>
  <c r="P22" i="156"/>
  <c r="P21" i="156"/>
  <c r="Q21" i="156"/>
  <c r="Q43" i="156"/>
  <c r="P43" i="156"/>
  <c r="AF71" i="156"/>
  <c r="AG63" i="156" s="1"/>
  <c r="AE71" i="156"/>
  <c r="N71" i="156"/>
  <c r="AE49" i="156"/>
  <c r="AF49" i="156"/>
  <c r="AG46" i="156" s="1"/>
  <c r="N49" i="156"/>
  <c r="P10" i="156"/>
  <c r="Q10" i="156"/>
  <c r="J14" i="151"/>
  <c r="J15" i="151" s="1"/>
  <c r="Q59" i="152"/>
  <c r="R55" i="152" s="1"/>
  <c r="P59" i="152"/>
  <c r="Q41" i="152"/>
  <c r="P41" i="152"/>
  <c r="P48" i="152"/>
  <c r="P15" i="152"/>
  <c r="P13" i="152"/>
  <c r="P43" i="152"/>
  <c r="AE64" i="152"/>
  <c r="I3" i="151"/>
  <c r="P57" i="152"/>
  <c r="E6" i="151"/>
  <c r="P10" i="152"/>
  <c r="N64" i="152"/>
  <c r="AF5" i="152"/>
  <c r="AE5" i="152"/>
  <c r="Q5" i="152"/>
  <c r="P5" i="152"/>
  <c r="AF7" i="152"/>
  <c r="AG5" i="152" s="1"/>
  <c r="AE7" i="152"/>
  <c r="N7" i="152"/>
  <c r="D14" i="151" s="1"/>
  <c r="AF8" i="152"/>
  <c r="AE8" i="152"/>
  <c r="Q9" i="152"/>
  <c r="P9" i="152"/>
  <c r="AF10" i="152"/>
  <c r="AE10" i="152"/>
  <c r="AF12" i="152"/>
  <c r="AG8" i="152" s="1"/>
  <c r="AE12" i="152"/>
  <c r="N12" i="152"/>
  <c r="E14" i="151" s="1"/>
  <c r="E15" i="151" s="1"/>
  <c r="AF13" i="152"/>
  <c r="AE13" i="152"/>
  <c r="Q14" i="152"/>
  <c r="P14" i="152"/>
  <c r="AF15" i="152"/>
  <c r="AE15" i="152"/>
  <c r="Q16" i="152"/>
  <c r="P16" i="152"/>
  <c r="AF17" i="152"/>
  <c r="AE17" i="152"/>
  <c r="Q17" i="152"/>
  <c r="P17" i="152"/>
  <c r="AF19" i="152"/>
  <c r="AG13" i="152" s="1"/>
  <c r="AE19" i="152"/>
  <c r="N19" i="152"/>
  <c r="F14" i="151" s="1"/>
  <c r="F15" i="151" s="1"/>
  <c r="AF21" i="152"/>
  <c r="AE21" i="152"/>
  <c r="N21" i="152"/>
  <c r="AF22" i="152"/>
  <c r="AE22" i="152"/>
  <c r="Q23" i="152"/>
  <c r="P23" i="152"/>
  <c r="AF24" i="152"/>
  <c r="AE24" i="152"/>
  <c r="Q25" i="152"/>
  <c r="P25" i="152"/>
  <c r="AF26" i="152"/>
  <c r="AG20" i="152" s="1"/>
  <c r="AE26" i="152"/>
  <c r="Q26" i="152"/>
  <c r="R20" i="152" s="1"/>
  <c r="P26" i="152"/>
  <c r="M34" i="152"/>
  <c r="N27" i="152"/>
  <c r="AF28" i="152"/>
  <c r="AE28" i="152"/>
  <c r="N28" i="152"/>
  <c r="AF29" i="152"/>
  <c r="AE29" i="152"/>
  <c r="Q30" i="152"/>
  <c r="P30" i="152"/>
  <c r="AF31" i="152"/>
  <c r="AE31" i="152"/>
  <c r="AF36" i="152"/>
  <c r="AE36" i="152"/>
  <c r="Q37" i="152"/>
  <c r="P37" i="152"/>
  <c r="AF38" i="152"/>
  <c r="AE38" i="152"/>
  <c r="Q38" i="152"/>
  <c r="P38" i="152"/>
  <c r="AF41" i="152"/>
  <c r="AE41" i="152"/>
  <c r="M46" i="152"/>
  <c r="AF43" i="152"/>
  <c r="AE43" i="152"/>
  <c r="Q44" i="152"/>
  <c r="P44" i="152"/>
  <c r="AF45" i="152"/>
  <c r="AE45" i="152"/>
  <c r="Q45" i="152"/>
  <c r="P45" i="152"/>
  <c r="AF49" i="152"/>
  <c r="AE49" i="152"/>
  <c r="N49" i="152"/>
  <c r="AF50" i="152"/>
  <c r="AE50" i="152"/>
  <c r="Q51" i="152"/>
  <c r="P51" i="152"/>
  <c r="AF52" i="152"/>
  <c r="AE52" i="152"/>
  <c r="Q53" i="152"/>
  <c r="P53" i="152"/>
  <c r="AF54" i="152"/>
  <c r="AG47" i="152" s="1"/>
  <c r="AE54" i="152"/>
  <c r="Q54" i="152"/>
  <c r="R47" i="152" s="1"/>
  <c r="I14" i="151"/>
  <c r="I15" i="151" s="1"/>
  <c r="P54" i="152"/>
  <c r="AF56" i="152"/>
  <c r="AE56" i="152"/>
  <c r="N56" i="152"/>
  <c r="AF58" i="152"/>
  <c r="AE58" i="152"/>
  <c r="N58" i="152"/>
  <c r="AF59" i="152"/>
  <c r="AG55" i="152" s="1"/>
  <c r="AE59" i="152"/>
  <c r="Q60" i="152"/>
  <c r="P60" i="152"/>
  <c r="AF61" i="152"/>
  <c r="AE61" i="152"/>
  <c r="N61" i="152"/>
  <c r="AF63" i="152"/>
  <c r="AE63" i="152"/>
  <c r="N63" i="152"/>
  <c r="N33" i="152"/>
  <c r="N47" i="152"/>
  <c r="M65" i="152"/>
  <c r="N35" i="152"/>
  <c r="N40" i="152"/>
  <c r="M42" i="152"/>
  <c r="AF42" i="152" s="1"/>
  <c r="AG35" i="152" s="1"/>
  <c r="AE33" i="152"/>
  <c r="AE47" i="152"/>
  <c r="AE40" i="152"/>
  <c r="AD63" i="150"/>
  <c r="Z63" i="150"/>
  <c r="Y63" i="150"/>
  <c r="O63" i="150"/>
  <c r="K63" i="150"/>
  <c r="M13" i="149" s="1"/>
  <c r="V62" i="150"/>
  <c r="U62" i="150"/>
  <c r="O62" i="150"/>
  <c r="M62" i="150"/>
  <c r="AE62" i="150" s="1"/>
  <c r="K62" i="150"/>
  <c r="G62" i="150"/>
  <c r="AF61" i="150"/>
  <c r="AE61" i="150"/>
  <c r="V61" i="150"/>
  <c r="U61" i="150"/>
  <c r="O61" i="150"/>
  <c r="M61" i="150"/>
  <c r="N61" i="150" s="1"/>
  <c r="K61" i="150"/>
  <c r="G61" i="150"/>
  <c r="V60" i="150"/>
  <c r="M60" i="150" s="1"/>
  <c r="U60" i="150"/>
  <c r="O60" i="150"/>
  <c r="K60" i="150"/>
  <c r="G60" i="150"/>
  <c r="V59" i="150"/>
  <c r="M59" i="150" s="1"/>
  <c r="U59" i="150"/>
  <c r="O59" i="150"/>
  <c r="K59" i="150"/>
  <c r="G59" i="150"/>
  <c r="AE58" i="150"/>
  <c r="X58" i="150"/>
  <c r="W58" i="150"/>
  <c r="V58" i="150"/>
  <c r="O58" i="150"/>
  <c r="M58" i="150"/>
  <c r="N58" i="150" s="1"/>
  <c r="K58" i="150"/>
  <c r="G58" i="150"/>
  <c r="AD57" i="150"/>
  <c r="J21" i="149" s="1"/>
  <c r="Z57" i="150"/>
  <c r="Y57" i="150"/>
  <c r="O57" i="150"/>
  <c r="K57" i="150"/>
  <c r="J13" i="149" s="1"/>
  <c r="V56" i="150"/>
  <c r="M56" i="150" s="1"/>
  <c r="U56" i="150"/>
  <c r="O56" i="150"/>
  <c r="K56" i="150"/>
  <c r="G56" i="150"/>
  <c r="AF55" i="150"/>
  <c r="AE55" i="150"/>
  <c r="V55" i="150"/>
  <c r="U55" i="150"/>
  <c r="Q55" i="150"/>
  <c r="O55" i="150"/>
  <c r="N55" i="150"/>
  <c r="P55" i="150" s="1"/>
  <c r="M55" i="150"/>
  <c r="K55" i="150"/>
  <c r="G55" i="150"/>
  <c r="AF54" i="150"/>
  <c r="AE54" i="150"/>
  <c r="V54" i="150"/>
  <c r="U54" i="150"/>
  <c r="Q54" i="150"/>
  <c r="P54" i="150"/>
  <c r="O54" i="150"/>
  <c r="N54" i="150"/>
  <c r="M54" i="150"/>
  <c r="K54" i="150"/>
  <c r="G54" i="150"/>
  <c r="AF53" i="150"/>
  <c r="AE53" i="150"/>
  <c r="V53" i="150"/>
  <c r="Q53" i="150"/>
  <c r="P53" i="150"/>
  <c r="O53" i="150"/>
  <c r="N53" i="150"/>
  <c r="M53" i="150"/>
  <c r="K53" i="150"/>
  <c r="G53" i="150"/>
  <c r="AD52" i="150"/>
  <c r="I21" i="149" s="1"/>
  <c r="Z52" i="150"/>
  <c r="Y52" i="150"/>
  <c r="O52" i="150"/>
  <c r="K52" i="150"/>
  <c r="V51" i="150"/>
  <c r="M51" i="150" s="1"/>
  <c r="U51" i="150"/>
  <c r="O51" i="150"/>
  <c r="K51" i="150"/>
  <c r="G51" i="150"/>
  <c r="V50" i="150"/>
  <c r="U50" i="150"/>
  <c r="O50" i="150"/>
  <c r="N50" i="150"/>
  <c r="Q50" i="150" s="1"/>
  <c r="M50" i="150"/>
  <c r="AE50" i="150" s="1"/>
  <c r="K50" i="150"/>
  <c r="G50" i="150"/>
  <c r="V49" i="150"/>
  <c r="U49" i="150"/>
  <c r="O49" i="150"/>
  <c r="M49" i="150"/>
  <c r="AF49" i="150" s="1"/>
  <c r="K49" i="150"/>
  <c r="G49" i="150"/>
  <c r="V48" i="150"/>
  <c r="U48" i="150"/>
  <c r="O48" i="150"/>
  <c r="M48" i="150"/>
  <c r="AF48" i="150" s="1"/>
  <c r="K48" i="150"/>
  <c r="G48" i="150"/>
  <c r="V47" i="150"/>
  <c r="U47" i="150"/>
  <c r="O47" i="150"/>
  <c r="N47" i="150"/>
  <c r="Q47" i="150" s="1"/>
  <c r="M47" i="150"/>
  <c r="AF47" i="150" s="1"/>
  <c r="K47" i="150"/>
  <c r="G47" i="150"/>
  <c r="V46" i="150"/>
  <c r="U46" i="150"/>
  <c r="O46" i="150"/>
  <c r="M46" i="150"/>
  <c r="AE46" i="150" s="1"/>
  <c r="K46" i="150"/>
  <c r="G46" i="150"/>
  <c r="V45" i="150"/>
  <c r="O45" i="150"/>
  <c r="M45" i="150"/>
  <c r="AE45" i="150" s="1"/>
  <c r="K45" i="150"/>
  <c r="G45" i="150"/>
  <c r="AD44" i="150"/>
  <c r="Z44" i="150"/>
  <c r="Y44" i="150"/>
  <c r="O44" i="150"/>
  <c r="K44" i="150"/>
  <c r="V43" i="150"/>
  <c r="M43" i="150" s="1"/>
  <c r="U43" i="150"/>
  <c r="O43" i="150"/>
  <c r="K43" i="150"/>
  <c r="G43" i="150"/>
  <c r="V42" i="150"/>
  <c r="M42" i="150" s="1"/>
  <c r="U42" i="150"/>
  <c r="O42" i="150"/>
  <c r="K42" i="150"/>
  <c r="G42" i="150"/>
  <c r="V41" i="150"/>
  <c r="M41" i="150" s="1"/>
  <c r="O41" i="150"/>
  <c r="K41" i="150"/>
  <c r="G41" i="150"/>
  <c r="AD40" i="150"/>
  <c r="Z40" i="150"/>
  <c r="Z2" i="150" s="1"/>
  <c r="L6" i="149" s="1"/>
  <c r="Y40" i="150"/>
  <c r="L18" i="149" s="1"/>
  <c r="O40" i="150"/>
  <c r="K40" i="150"/>
  <c r="AF39" i="150"/>
  <c r="AE39" i="150"/>
  <c r="V39" i="150"/>
  <c r="U39" i="150"/>
  <c r="Q39" i="150"/>
  <c r="P39" i="150"/>
  <c r="O39" i="150"/>
  <c r="N39" i="150"/>
  <c r="M39" i="150"/>
  <c r="K39" i="150"/>
  <c r="G39" i="150"/>
  <c r="AF38" i="150"/>
  <c r="AE38" i="150"/>
  <c r="X38" i="150"/>
  <c r="W38" i="150"/>
  <c r="V38" i="150"/>
  <c r="U38" i="150"/>
  <c r="Q38" i="150"/>
  <c r="O38" i="150"/>
  <c r="N38" i="150"/>
  <c r="P38" i="150" s="1"/>
  <c r="M38" i="150"/>
  <c r="K38" i="150"/>
  <c r="G38" i="150"/>
  <c r="AF37" i="150"/>
  <c r="AE37" i="150"/>
  <c r="V37" i="150"/>
  <c r="U37" i="150"/>
  <c r="Q37" i="150"/>
  <c r="P37" i="150"/>
  <c r="O37" i="150"/>
  <c r="N37" i="150"/>
  <c r="M37" i="150"/>
  <c r="K37" i="150"/>
  <c r="G37" i="150"/>
  <c r="V36" i="150"/>
  <c r="M36" i="150" s="1"/>
  <c r="U36" i="150"/>
  <c r="O36" i="150"/>
  <c r="K36" i="150"/>
  <c r="G36" i="150"/>
  <c r="V35" i="150"/>
  <c r="M35" i="150" s="1"/>
  <c r="U35" i="150"/>
  <c r="O35" i="150"/>
  <c r="K35" i="150"/>
  <c r="G35" i="150"/>
  <c r="AF34" i="150"/>
  <c r="AE34" i="150"/>
  <c r="X34" i="150"/>
  <c r="W34" i="150"/>
  <c r="V34" i="150"/>
  <c r="Q34" i="150"/>
  <c r="P34" i="150"/>
  <c r="O34" i="150"/>
  <c r="N34" i="150"/>
  <c r="M34" i="150"/>
  <c r="K34" i="150"/>
  <c r="G34" i="150"/>
  <c r="AD33" i="150"/>
  <c r="K21" i="149" s="1"/>
  <c r="Z33" i="150"/>
  <c r="Y33" i="150"/>
  <c r="O33" i="150"/>
  <c r="K33" i="150"/>
  <c r="V32" i="150"/>
  <c r="M32" i="150" s="1"/>
  <c r="U32" i="150"/>
  <c r="O32" i="150"/>
  <c r="K32" i="150"/>
  <c r="G32" i="150"/>
  <c r="X31" i="150"/>
  <c r="W31" i="150"/>
  <c r="V31" i="150"/>
  <c r="M31" i="150" s="1"/>
  <c r="U31" i="150"/>
  <c r="O31" i="150"/>
  <c r="K31" i="150"/>
  <c r="G31" i="150"/>
  <c r="V30" i="150"/>
  <c r="M30" i="150" s="1"/>
  <c r="U30" i="150"/>
  <c r="O30" i="150"/>
  <c r="K30" i="150"/>
  <c r="G30" i="150"/>
  <c r="V29" i="150"/>
  <c r="U29" i="150"/>
  <c r="O29" i="150"/>
  <c r="N29" i="150"/>
  <c r="Q29" i="150" s="1"/>
  <c r="M29" i="150"/>
  <c r="AE29" i="150" s="1"/>
  <c r="K29" i="150"/>
  <c r="G29" i="150"/>
  <c r="V28" i="150"/>
  <c r="U28" i="150"/>
  <c r="O28" i="150"/>
  <c r="M28" i="150"/>
  <c r="AF28" i="150" s="1"/>
  <c r="K28" i="150"/>
  <c r="G28" i="150"/>
  <c r="X27" i="150"/>
  <c r="W27" i="150"/>
  <c r="V27" i="150"/>
  <c r="M27" i="150" s="1"/>
  <c r="O27" i="150"/>
  <c r="K27" i="150"/>
  <c r="G27" i="150"/>
  <c r="AD26" i="150"/>
  <c r="Z26" i="150"/>
  <c r="G19" i="149" s="1"/>
  <c r="Y26" i="150"/>
  <c r="Y2" i="150" s="1"/>
  <c r="K6" i="149" s="1"/>
  <c r="O26" i="150"/>
  <c r="K26" i="150"/>
  <c r="V25" i="150"/>
  <c r="U25" i="150"/>
  <c r="O25" i="150"/>
  <c r="M25" i="150"/>
  <c r="AF25" i="150" s="1"/>
  <c r="K25" i="150"/>
  <c r="G25" i="150"/>
  <c r="V24" i="150"/>
  <c r="U24" i="150"/>
  <c r="O24" i="150"/>
  <c r="M24" i="150"/>
  <c r="AF24" i="150" s="1"/>
  <c r="K24" i="150"/>
  <c r="G24" i="150"/>
  <c r="V23" i="150"/>
  <c r="U23" i="150"/>
  <c r="O23" i="150"/>
  <c r="N23" i="150"/>
  <c r="Q23" i="150" s="1"/>
  <c r="M23" i="150"/>
  <c r="AF23" i="150" s="1"/>
  <c r="K23" i="150"/>
  <c r="G23" i="150"/>
  <c r="V22" i="150"/>
  <c r="U22" i="150"/>
  <c r="O22" i="150"/>
  <c r="M22" i="150"/>
  <c r="AE22" i="150" s="1"/>
  <c r="K22" i="150"/>
  <c r="G22" i="150"/>
  <c r="AF21" i="150"/>
  <c r="AE21" i="150"/>
  <c r="V21" i="150"/>
  <c r="U21" i="150"/>
  <c r="O21" i="150"/>
  <c r="M21" i="150"/>
  <c r="N21" i="150" s="1"/>
  <c r="K21" i="150"/>
  <c r="G21" i="150"/>
  <c r="AF20" i="150"/>
  <c r="AE20" i="150"/>
  <c r="V20" i="150"/>
  <c r="O20" i="150"/>
  <c r="M20" i="150"/>
  <c r="M26" i="150" s="1"/>
  <c r="K20" i="150"/>
  <c r="G20" i="150"/>
  <c r="AD19" i="150"/>
  <c r="F21" i="149" s="1"/>
  <c r="Z19" i="150"/>
  <c r="Y19" i="150"/>
  <c r="O19" i="150"/>
  <c r="K19" i="150"/>
  <c r="F13" i="149" s="1"/>
  <c r="V18" i="150"/>
  <c r="M18" i="150" s="1"/>
  <c r="U18" i="150"/>
  <c r="O18" i="150"/>
  <c r="K18" i="150"/>
  <c r="G18" i="150"/>
  <c r="AF17" i="150"/>
  <c r="AE17" i="150"/>
  <c r="V17" i="150"/>
  <c r="U17" i="150"/>
  <c r="Q17" i="150"/>
  <c r="O17" i="150"/>
  <c r="N17" i="150"/>
  <c r="P17" i="150" s="1"/>
  <c r="M17" i="150"/>
  <c r="K17" i="150"/>
  <c r="G17" i="150"/>
  <c r="AF16" i="150"/>
  <c r="AE16" i="150"/>
  <c r="V16" i="150"/>
  <c r="U16" i="150"/>
  <c r="O16" i="150"/>
  <c r="M16" i="150"/>
  <c r="N16" i="150" s="1"/>
  <c r="K16" i="150"/>
  <c r="G16" i="150"/>
  <c r="V15" i="150"/>
  <c r="M15" i="150" s="1"/>
  <c r="U15" i="150"/>
  <c r="O15" i="150"/>
  <c r="K15" i="150"/>
  <c r="G15" i="150"/>
  <c r="V14" i="150"/>
  <c r="M14" i="150" s="1"/>
  <c r="U14" i="150"/>
  <c r="O14" i="150"/>
  <c r="K14" i="150"/>
  <c r="G14" i="150"/>
  <c r="AF13" i="150"/>
  <c r="AE13" i="150"/>
  <c r="X13" i="150"/>
  <c r="W13" i="150"/>
  <c r="V13" i="150"/>
  <c r="O13" i="150"/>
  <c r="M13" i="150"/>
  <c r="N13" i="150" s="1"/>
  <c r="K13" i="150"/>
  <c r="G13" i="150"/>
  <c r="AD12" i="150"/>
  <c r="E21" i="149" s="1"/>
  <c r="Z12" i="150"/>
  <c r="Y12" i="150"/>
  <c r="O12" i="150"/>
  <c r="K12" i="150"/>
  <c r="V11" i="150"/>
  <c r="M11" i="150" s="1"/>
  <c r="U11" i="150"/>
  <c r="O11" i="150"/>
  <c r="K11" i="150"/>
  <c r="G11" i="150"/>
  <c r="X10" i="150"/>
  <c r="W10" i="150"/>
  <c r="V10" i="150"/>
  <c r="M10" i="150" s="1"/>
  <c r="U10" i="150"/>
  <c r="O10" i="150"/>
  <c r="K10" i="150"/>
  <c r="G10" i="150"/>
  <c r="V9" i="150"/>
  <c r="M9" i="150" s="1"/>
  <c r="U9" i="150"/>
  <c r="O9" i="150"/>
  <c r="K9" i="150"/>
  <c r="G9" i="150"/>
  <c r="AF8" i="150"/>
  <c r="AE8" i="150"/>
  <c r="X8" i="150"/>
  <c r="W8" i="150"/>
  <c r="V8" i="150"/>
  <c r="O8" i="150"/>
  <c r="M8" i="150"/>
  <c r="N8" i="150" s="1"/>
  <c r="K8" i="150"/>
  <c r="G8" i="150"/>
  <c r="AD7" i="150"/>
  <c r="AD2" i="150" s="1"/>
  <c r="N6" i="149" s="1"/>
  <c r="Z7" i="150"/>
  <c r="Y7" i="150"/>
  <c r="O7" i="150"/>
  <c r="K7" i="150"/>
  <c r="V6" i="150"/>
  <c r="M6" i="150" s="1"/>
  <c r="U6" i="150"/>
  <c r="O6" i="150"/>
  <c r="K6" i="150"/>
  <c r="G6" i="150"/>
  <c r="V5" i="150"/>
  <c r="M5" i="150" s="1"/>
  <c r="O5" i="150"/>
  <c r="K5" i="150"/>
  <c r="G5" i="150"/>
  <c r="H2" i="150"/>
  <c r="H1" i="150"/>
  <c r="F1" i="150"/>
  <c r="F2" i="150" s="1"/>
  <c r="D1" i="150"/>
  <c r="F3" i="149" s="1"/>
  <c r="M22" i="149"/>
  <c r="L22" i="149"/>
  <c r="K22" i="149"/>
  <c r="J22" i="149"/>
  <c r="I22" i="149"/>
  <c r="H22" i="149"/>
  <c r="G22" i="149"/>
  <c r="F22" i="149"/>
  <c r="E22" i="149"/>
  <c r="D22" i="149"/>
  <c r="M21" i="149"/>
  <c r="L21" i="149"/>
  <c r="H21" i="149"/>
  <c r="G21" i="149"/>
  <c r="D21" i="149"/>
  <c r="M20" i="149"/>
  <c r="L20" i="149"/>
  <c r="K20" i="149"/>
  <c r="J20" i="149"/>
  <c r="I20" i="149"/>
  <c r="H20" i="149"/>
  <c r="G20" i="149"/>
  <c r="F20" i="149"/>
  <c r="E20" i="149"/>
  <c r="D20" i="149"/>
  <c r="M19" i="149"/>
  <c r="L19" i="149"/>
  <c r="K19" i="149"/>
  <c r="J19" i="149"/>
  <c r="I19" i="149"/>
  <c r="H19" i="149"/>
  <c r="F19" i="149"/>
  <c r="E19" i="149"/>
  <c r="D19" i="149"/>
  <c r="M18" i="149"/>
  <c r="K18" i="149"/>
  <c r="J18" i="149"/>
  <c r="I18" i="149"/>
  <c r="H18" i="149"/>
  <c r="G18" i="149"/>
  <c r="F18" i="149"/>
  <c r="E18" i="149"/>
  <c r="D18" i="149"/>
  <c r="M17" i="149"/>
  <c r="L17" i="149"/>
  <c r="K17" i="149"/>
  <c r="J17" i="149"/>
  <c r="I17" i="149"/>
  <c r="H17" i="149"/>
  <c r="G17" i="149"/>
  <c r="F17" i="149"/>
  <c r="E17" i="149"/>
  <c r="D17" i="149"/>
  <c r="M16" i="149"/>
  <c r="L16" i="149"/>
  <c r="K16" i="149"/>
  <c r="J16" i="149"/>
  <c r="I16" i="149"/>
  <c r="H16" i="149"/>
  <c r="G16" i="149"/>
  <c r="F16" i="149"/>
  <c r="E16" i="149"/>
  <c r="D16" i="149"/>
  <c r="L13" i="149"/>
  <c r="I6" i="149" s="1"/>
  <c r="K13" i="149"/>
  <c r="I13" i="149"/>
  <c r="H13" i="149"/>
  <c r="G13" i="149"/>
  <c r="E13" i="149"/>
  <c r="D13" i="149"/>
  <c r="M6" i="149"/>
  <c r="C3" i="149"/>
  <c r="F8" i="159" l="1"/>
  <c r="E8" i="159"/>
  <c r="G8" i="159"/>
  <c r="I7" i="157"/>
  <c r="K15" i="157"/>
  <c r="I8" i="157" s="1"/>
  <c r="G7" i="157"/>
  <c r="E7" i="157"/>
  <c r="F7" i="157"/>
  <c r="D15" i="157"/>
  <c r="P13" i="156"/>
  <c r="Q13" i="156"/>
  <c r="R8" i="156" s="1"/>
  <c r="E14" i="155"/>
  <c r="E15" i="155" s="1"/>
  <c r="P45" i="156"/>
  <c r="L14" i="155"/>
  <c r="L15" i="155" s="1"/>
  <c r="Q45" i="156"/>
  <c r="R37" i="156" s="1"/>
  <c r="Q49" i="156"/>
  <c r="R46" i="156" s="1"/>
  <c r="P49" i="156"/>
  <c r="H14" i="155"/>
  <c r="H15" i="155" s="1"/>
  <c r="Q20" i="156"/>
  <c r="R14" i="156" s="1"/>
  <c r="P20" i="156"/>
  <c r="F14" i="155"/>
  <c r="F15" i="155" s="1"/>
  <c r="P36" i="156"/>
  <c r="Q36" i="156"/>
  <c r="R28" i="156" s="1"/>
  <c r="K14" i="155"/>
  <c r="Q71" i="156"/>
  <c r="R63" i="156" s="1"/>
  <c r="P71" i="156"/>
  <c r="M14" i="155"/>
  <c r="M15" i="155" s="1"/>
  <c r="G14" i="155"/>
  <c r="G15" i="155" s="1"/>
  <c r="P27" i="156"/>
  <c r="Q27" i="156"/>
  <c r="R21" i="156" s="1"/>
  <c r="Q57" i="156"/>
  <c r="R50" i="156" s="1"/>
  <c r="P57" i="156"/>
  <c r="I14" i="155"/>
  <c r="I15" i="155" s="1"/>
  <c r="D14" i="155"/>
  <c r="D2" i="156"/>
  <c r="Q7" i="156"/>
  <c r="R5" i="156" s="1"/>
  <c r="P7" i="156"/>
  <c r="P62" i="156"/>
  <c r="Q62" i="156"/>
  <c r="R58" i="156" s="1"/>
  <c r="J14" i="155"/>
  <c r="J15" i="155" s="1"/>
  <c r="N46" i="152"/>
  <c r="AF46" i="152"/>
  <c r="AG43" i="152" s="1"/>
  <c r="AE46" i="152"/>
  <c r="P27" i="152"/>
  <c r="Q27" i="152"/>
  <c r="D15" i="151"/>
  <c r="Q64" i="152"/>
  <c r="P64" i="152"/>
  <c r="N34" i="152"/>
  <c r="AF34" i="152"/>
  <c r="AG27" i="152" s="1"/>
  <c r="AE34" i="152"/>
  <c r="AE42" i="152"/>
  <c r="N42" i="152"/>
  <c r="L14" i="151" s="1"/>
  <c r="L15" i="151" s="1"/>
  <c r="Q40" i="152"/>
  <c r="P40" i="152"/>
  <c r="Q35" i="152"/>
  <c r="P35" i="152"/>
  <c r="AF65" i="152"/>
  <c r="AG60" i="152" s="1"/>
  <c r="AE65" i="152"/>
  <c r="N65" i="152"/>
  <c r="M14" i="151" s="1"/>
  <c r="M15" i="151" s="1"/>
  <c r="Q47" i="152"/>
  <c r="P47" i="152"/>
  <c r="Q33" i="152"/>
  <c r="P33" i="152"/>
  <c r="Q63" i="152"/>
  <c r="P63" i="152"/>
  <c r="Q61" i="152"/>
  <c r="P61" i="152"/>
  <c r="Q58" i="152"/>
  <c r="P58" i="152"/>
  <c r="Q56" i="152"/>
  <c r="P56" i="152"/>
  <c r="Q49" i="152"/>
  <c r="P49" i="152"/>
  <c r="Q28" i="152"/>
  <c r="P28" i="152"/>
  <c r="Q21" i="152"/>
  <c r="P21" i="152"/>
  <c r="Q19" i="152"/>
  <c r="R13" i="152" s="1"/>
  <c r="P19" i="152"/>
  <c r="Q12" i="152"/>
  <c r="R8" i="152" s="1"/>
  <c r="P12" i="152"/>
  <c r="Q7" i="152"/>
  <c r="R5" i="152" s="1"/>
  <c r="P7" i="152"/>
  <c r="N10" i="150"/>
  <c r="AE10" i="150"/>
  <c r="AF10" i="150"/>
  <c r="M33" i="150"/>
  <c r="AF27" i="150"/>
  <c r="AE27" i="150"/>
  <c r="N27" i="150"/>
  <c r="AF51" i="150"/>
  <c r="AE51" i="150"/>
  <c r="N51" i="150"/>
  <c r="N18" i="150"/>
  <c r="AF18" i="150"/>
  <c r="AE18" i="150"/>
  <c r="M40" i="150"/>
  <c r="AF35" i="150"/>
  <c r="AE35" i="150"/>
  <c r="N35" i="150"/>
  <c r="M44" i="150"/>
  <c r="N41" i="150"/>
  <c r="AF41" i="150"/>
  <c r="AE41" i="150"/>
  <c r="AF5" i="150"/>
  <c r="M7" i="150"/>
  <c r="AE5" i="150"/>
  <c r="N5" i="150"/>
  <c r="AF9" i="150"/>
  <c r="AE9" i="150"/>
  <c r="N9" i="150"/>
  <c r="AF11" i="150"/>
  <c r="AE11" i="150"/>
  <c r="N11" i="150"/>
  <c r="N15" i="150"/>
  <c r="AF15" i="150"/>
  <c r="AE15" i="150"/>
  <c r="F6" i="149"/>
  <c r="E6" i="149"/>
  <c r="N60" i="150"/>
  <c r="AF60" i="150"/>
  <c r="AE60" i="150"/>
  <c r="N56" i="150"/>
  <c r="M57" i="150"/>
  <c r="AF56" i="150"/>
  <c r="AE56" i="150"/>
  <c r="Q13" i="150"/>
  <c r="P13" i="150"/>
  <c r="N43" i="150"/>
  <c r="AF43" i="150"/>
  <c r="AE43" i="150"/>
  <c r="Q58" i="150"/>
  <c r="P58" i="150"/>
  <c r="Q8" i="150"/>
  <c r="P8" i="150"/>
  <c r="AF30" i="150"/>
  <c r="AE30" i="150"/>
  <c r="N30" i="150"/>
  <c r="AF32" i="150"/>
  <c r="AE32" i="150"/>
  <c r="N32" i="150"/>
  <c r="Q21" i="150"/>
  <c r="P21" i="150"/>
  <c r="Q16" i="150"/>
  <c r="P16" i="150"/>
  <c r="Q61" i="150"/>
  <c r="P61" i="150"/>
  <c r="N36" i="150"/>
  <c r="AF36" i="150"/>
  <c r="AE36" i="150"/>
  <c r="N42" i="150"/>
  <c r="AF42" i="150"/>
  <c r="AE42" i="150"/>
  <c r="N31" i="150"/>
  <c r="AE31" i="150"/>
  <c r="AF31" i="150"/>
  <c r="AF6" i="150"/>
  <c r="AE6" i="150"/>
  <c r="N6" i="150"/>
  <c r="G6" i="149"/>
  <c r="AF14" i="150"/>
  <c r="AE14" i="150"/>
  <c r="M19" i="150"/>
  <c r="N14" i="150"/>
  <c r="AE26" i="150"/>
  <c r="AF26" i="150"/>
  <c r="AG20" i="150" s="1"/>
  <c r="N26" i="150"/>
  <c r="N59" i="150"/>
  <c r="AF59" i="150"/>
  <c r="M63" i="150"/>
  <c r="AE59" i="150"/>
  <c r="AF22" i="150"/>
  <c r="AF45" i="150"/>
  <c r="AF46" i="150"/>
  <c r="AF62" i="150"/>
  <c r="N25" i="150"/>
  <c r="N28" i="150"/>
  <c r="N49" i="150"/>
  <c r="I3" i="149"/>
  <c r="N24" i="150"/>
  <c r="P29" i="150"/>
  <c r="N48" i="150"/>
  <c r="P50" i="150"/>
  <c r="AF58" i="150"/>
  <c r="N22" i="150"/>
  <c r="N45" i="150"/>
  <c r="N46" i="150"/>
  <c r="N62" i="150"/>
  <c r="N20" i="150"/>
  <c r="P23" i="150"/>
  <c r="P47" i="150"/>
  <c r="AE25" i="150"/>
  <c r="AE28" i="150"/>
  <c r="AF29" i="150"/>
  <c r="AE49" i="150"/>
  <c r="AF50" i="150"/>
  <c r="M12" i="150"/>
  <c r="AE24" i="150"/>
  <c r="AE48" i="150"/>
  <c r="M52" i="150"/>
  <c r="AE23" i="150"/>
  <c r="AE47" i="150"/>
  <c r="AD66" i="148"/>
  <c r="Z66" i="148"/>
  <c r="Y66" i="148"/>
  <c r="O66" i="148"/>
  <c r="K66" i="148"/>
  <c r="AF65" i="148"/>
  <c r="V65" i="148"/>
  <c r="U65" i="148"/>
  <c r="O65" i="148"/>
  <c r="M65" i="148"/>
  <c r="AE65" i="148" s="1"/>
  <c r="K65" i="148"/>
  <c r="G65" i="148"/>
  <c r="AF64" i="148"/>
  <c r="AE64" i="148"/>
  <c r="V64" i="148"/>
  <c r="U64" i="148"/>
  <c r="O64" i="148"/>
  <c r="N64" i="148"/>
  <c r="Q64" i="148" s="1"/>
  <c r="M64" i="148"/>
  <c r="K64" i="148"/>
  <c r="G64" i="148"/>
  <c r="V63" i="148"/>
  <c r="M63" i="148" s="1"/>
  <c r="U63" i="148"/>
  <c r="O63" i="148"/>
  <c r="K63" i="148"/>
  <c r="G63" i="148"/>
  <c r="V62" i="148"/>
  <c r="M62" i="148" s="1"/>
  <c r="U62" i="148"/>
  <c r="O62" i="148"/>
  <c r="K62" i="148"/>
  <c r="G62" i="148"/>
  <c r="AF61" i="148"/>
  <c r="AE61" i="148"/>
  <c r="X61" i="148"/>
  <c r="W61" i="148"/>
  <c r="V61" i="148"/>
  <c r="O61" i="148"/>
  <c r="N61" i="148"/>
  <c r="Q61" i="148" s="1"/>
  <c r="M61" i="148"/>
  <c r="K61" i="148"/>
  <c r="G61" i="148"/>
  <c r="AD60" i="148"/>
  <c r="Z60" i="148"/>
  <c r="Y60" i="148"/>
  <c r="O60" i="148"/>
  <c r="K60" i="148"/>
  <c r="V59" i="148"/>
  <c r="M59" i="148" s="1"/>
  <c r="U59" i="148"/>
  <c r="O59" i="148"/>
  <c r="K59" i="148"/>
  <c r="G59" i="148"/>
  <c r="V58" i="148"/>
  <c r="M58" i="148" s="1"/>
  <c r="U58" i="148"/>
  <c r="O58" i="148"/>
  <c r="K58" i="148"/>
  <c r="G58" i="148"/>
  <c r="V57" i="148"/>
  <c r="M57" i="148" s="1"/>
  <c r="U57" i="148"/>
  <c r="O57" i="148"/>
  <c r="K57" i="148"/>
  <c r="G57" i="148"/>
  <c r="V56" i="148"/>
  <c r="M56" i="148" s="1"/>
  <c r="O56" i="148"/>
  <c r="K56" i="148"/>
  <c r="G56" i="148"/>
  <c r="AD55" i="148"/>
  <c r="Z55" i="148"/>
  <c r="Y55" i="148"/>
  <c r="I18" i="147" s="1"/>
  <c r="O55" i="148"/>
  <c r="K55" i="148"/>
  <c r="V54" i="148"/>
  <c r="M54" i="148" s="1"/>
  <c r="U54" i="148"/>
  <c r="O54" i="148"/>
  <c r="K54" i="148"/>
  <c r="G54" i="148"/>
  <c r="V53" i="148"/>
  <c r="U53" i="148"/>
  <c r="O53" i="148"/>
  <c r="N53" i="148"/>
  <c r="Q53" i="148" s="1"/>
  <c r="M53" i="148"/>
  <c r="AF53" i="148" s="1"/>
  <c r="K53" i="148"/>
  <c r="G53" i="148"/>
  <c r="V52" i="148"/>
  <c r="U52" i="148"/>
  <c r="O52" i="148"/>
  <c r="M52" i="148"/>
  <c r="AF52" i="148" s="1"/>
  <c r="K52" i="148"/>
  <c r="G52" i="148"/>
  <c r="V51" i="148"/>
  <c r="U51" i="148"/>
  <c r="O51" i="148"/>
  <c r="M51" i="148"/>
  <c r="AF51" i="148" s="1"/>
  <c r="K51" i="148"/>
  <c r="G51" i="148"/>
  <c r="V50" i="148"/>
  <c r="U50" i="148"/>
  <c r="O50" i="148"/>
  <c r="M50" i="148"/>
  <c r="AF50" i="148" s="1"/>
  <c r="K50" i="148"/>
  <c r="G50" i="148"/>
  <c r="AF49" i="148"/>
  <c r="V49" i="148"/>
  <c r="U49" i="148"/>
  <c r="O49" i="148"/>
  <c r="M49" i="148"/>
  <c r="AE49" i="148" s="1"/>
  <c r="K49" i="148"/>
  <c r="G49" i="148"/>
  <c r="AF48" i="148"/>
  <c r="V48" i="148"/>
  <c r="O48" i="148"/>
  <c r="M48" i="148"/>
  <c r="AE48" i="148" s="1"/>
  <c r="K48" i="148"/>
  <c r="G48" i="148"/>
  <c r="AD47" i="148"/>
  <c r="Z47" i="148"/>
  <c r="Y47" i="148"/>
  <c r="O47" i="148"/>
  <c r="K47" i="148"/>
  <c r="V46" i="148"/>
  <c r="M46" i="148" s="1"/>
  <c r="U46" i="148"/>
  <c r="O46" i="148"/>
  <c r="K46" i="148"/>
  <c r="G46" i="148"/>
  <c r="V45" i="148"/>
  <c r="M45" i="148" s="1"/>
  <c r="U45" i="148"/>
  <c r="O45" i="148"/>
  <c r="K45" i="148"/>
  <c r="G45" i="148"/>
  <c r="V44" i="148"/>
  <c r="M44" i="148" s="1"/>
  <c r="O44" i="148"/>
  <c r="K44" i="148"/>
  <c r="G44" i="148"/>
  <c r="AD43" i="148"/>
  <c r="L21" i="147" s="1"/>
  <c r="Z43" i="148"/>
  <c r="L19" i="147" s="1"/>
  <c r="Y43" i="148"/>
  <c r="L18" i="147" s="1"/>
  <c r="O43" i="148"/>
  <c r="K43" i="148"/>
  <c r="V42" i="148"/>
  <c r="M42" i="148" s="1"/>
  <c r="U42" i="148"/>
  <c r="O42" i="148"/>
  <c r="K42" i="148"/>
  <c r="G42" i="148"/>
  <c r="V41" i="148"/>
  <c r="M41" i="148" s="1"/>
  <c r="U41" i="148"/>
  <c r="O41" i="148"/>
  <c r="K41" i="148"/>
  <c r="G41" i="148"/>
  <c r="X40" i="148"/>
  <c r="W40" i="148"/>
  <c r="V40" i="148"/>
  <c r="M40" i="148" s="1"/>
  <c r="U40" i="148"/>
  <c r="O40" i="148"/>
  <c r="K40" i="148"/>
  <c r="G40" i="148"/>
  <c r="V39" i="148"/>
  <c r="M39" i="148" s="1"/>
  <c r="U39" i="148"/>
  <c r="O39" i="148"/>
  <c r="K39" i="148"/>
  <c r="G39" i="148"/>
  <c r="V38" i="148"/>
  <c r="M38" i="148" s="1"/>
  <c r="U38" i="148"/>
  <c r="O38" i="148"/>
  <c r="K38" i="148"/>
  <c r="G38" i="148"/>
  <c r="V37" i="148"/>
  <c r="U37" i="148"/>
  <c r="O37" i="148"/>
  <c r="N37" i="148"/>
  <c r="Q37" i="148" s="1"/>
  <c r="M37" i="148"/>
  <c r="AF37" i="148" s="1"/>
  <c r="K37" i="148"/>
  <c r="G37" i="148"/>
  <c r="X36" i="148"/>
  <c r="W36" i="148"/>
  <c r="V36" i="148"/>
  <c r="M36" i="148" s="1"/>
  <c r="O36" i="148"/>
  <c r="K36" i="148"/>
  <c r="G36" i="148"/>
  <c r="AD35" i="148"/>
  <c r="Z35" i="148"/>
  <c r="K19" i="147" s="1"/>
  <c r="Y35" i="148"/>
  <c r="K18" i="147" s="1"/>
  <c r="O35" i="148"/>
  <c r="K35" i="148"/>
  <c r="V34" i="148"/>
  <c r="U34" i="148"/>
  <c r="O34" i="148"/>
  <c r="N34" i="148"/>
  <c r="Q34" i="148" s="1"/>
  <c r="M34" i="148"/>
  <c r="AF34" i="148" s="1"/>
  <c r="K34" i="148"/>
  <c r="G34" i="148"/>
  <c r="V33" i="148"/>
  <c r="U33" i="148"/>
  <c r="O33" i="148"/>
  <c r="M33" i="148"/>
  <c r="AF33" i="148" s="1"/>
  <c r="K33" i="148"/>
  <c r="G33" i="148"/>
  <c r="X32" i="148"/>
  <c r="W32" i="148"/>
  <c r="V32" i="148"/>
  <c r="U32" i="148"/>
  <c r="O32" i="148"/>
  <c r="N32" i="148"/>
  <c r="Q32" i="148" s="1"/>
  <c r="M32" i="148"/>
  <c r="AF32" i="148" s="1"/>
  <c r="K32" i="148"/>
  <c r="G32" i="148"/>
  <c r="V31" i="148"/>
  <c r="U31" i="148"/>
  <c r="O31" i="148"/>
  <c r="M31" i="148"/>
  <c r="AF31" i="148" s="1"/>
  <c r="K31" i="148"/>
  <c r="G31" i="148"/>
  <c r="V30" i="148"/>
  <c r="U30" i="148"/>
  <c r="O30" i="148"/>
  <c r="M30" i="148"/>
  <c r="AF30" i="148" s="1"/>
  <c r="K30" i="148"/>
  <c r="G30" i="148"/>
  <c r="V29" i="148"/>
  <c r="U29" i="148"/>
  <c r="O29" i="148"/>
  <c r="M29" i="148"/>
  <c r="AF29" i="148" s="1"/>
  <c r="K29" i="148"/>
  <c r="G29" i="148"/>
  <c r="X28" i="148"/>
  <c r="W28" i="148"/>
  <c r="V28" i="148"/>
  <c r="O28" i="148"/>
  <c r="M28" i="148"/>
  <c r="AF28" i="148" s="1"/>
  <c r="K28" i="148"/>
  <c r="G28" i="148"/>
  <c r="AD27" i="148"/>
  <c r="Z27" i="148"/>
  <c r="Y27" i="148"/>
  <c r="O27" i="148"/>
  <c r="K27" i="148"/>
  <c r="V26" i="148"/>
  <c r="U26" i="148"/>
  <c r="O26" i="148"/>
  <c r="M26" i="148"/>
  <c r="AF26" i="148" s="1"/>
  <c r="K26" i="148"/>
  <c r="G26" i="148"/>
  <c r="AF25" i="148"/>
  <c r="V25" i="148"/>
  <c r="U25" i="148"/>
  <c r="O25" i="148"/>
  <c r="M25" i="148"/>
  <c r="AE25" i="148" s="1"/>
  <c r="K25" i="148"/>
  <c r="G25" i="148"/>
  <c r="AF24" i="148"/>
  <c r="AE24" i="148"/>
  <c r="V24" i="148"/>
  <c r="U24" i="148"/>
  <c r="O24" i="148"/>
  <c r="N24" i="148"/>
  <c r="Q24" i="148" s="1"/>
  <c r="M24" i="148"/>
  <c r="K24" i="148"/>
  <c r="G24" i="148"/>
  <c r="V23" i="148"/>
  <c r="M23" i="148" s="1"/>
  <c r="U23" i="148"/>
  <c r="O23" i="148"/>
  <c r="K23" i="148"/>
  <c r="G23" i="148"/>
  <c r="V22" i="148"/>
  <c r="M22" i="148" s="1"/>
  <c r="U22" i="148"/>
  <c r="O22" i="148"/>
  <c r="K22" i="148"/>
  <c r="G22" i="148"/>
  <c r="V21" i="148"/>
  <c r="M21" i="148" s="1"/>
  <c r="O21" i="148"/>
  <c r="K21" i="148"/>
  <c r="G21" i="148"/>
  <c r="AD20" i="148"/>
  <c r="AD2" i="148" s="1"/>
  <c r="N6" i="147" s="1"/>
  <c r="Z20" i="148"/>
  <c r="Y20" i="148"/>
  <c r="F18" i="147" s="1"/>
  <c r="O20" i="148"/>
  <c r="K20" i="148"/>
  <c r="V19" i="148"/>
  <c r="M19" i="148" s="1"/>
  <c r="U19" i="148"/>
  <c r="O19" i="148"/>
  <c r="K19" i="148"/>
  <c r="G19" i="148"/>
  <c r="V18" i="148"/>
  <c r="M18" i="148" s="1"/>
  <c r="U18" i="148"/>
  <c r="O18" i="148"/>
  <c r="K18" i="148"/>
  <c r="G18" i="148"/>
  <c r="V17" i="148"/>
  <c r="M17" i="148" s="1"/>
  <c r="U17" i="148"/>
  <c r="O17" i="148"/>
  <c r="K17" i="148"/>
  <c r="G17" i="148"/>
  <c r="V16" i="148"/>
  <c r="U16" i="148"/>
  <c r="O16" i="148"/>
  <c r="N16" i="148"/>
  <c r="Q16" i="148" s="1"/>
  <c r="M16" i="148"/>
  <c r="AF16" i="148" s="1"/>
  <c r="K16" i="148"/>
  <c r="G16" i="148"/>
  <c r="V15" i="148"/>
  <c r="U15" i="148"/>
  <c r="O15" i="148"/>
  <c r="M15" i="148"/>
  <c r="AF15" i="148" s="1"/>
  <c r="K15" i="148"/>
  <c r="G15" i="148"/>
  <c r="V14" i="148"/>
  <c r="U14" i="148"/>
  <c r="O14" i="148"/>
  <c r="M14" i="148"/>
  <c r="AF14" i="148" s="1"/>
  <c r="K14" i="148"/>
  <c r="G14" i="148"/>
  <c r="X13" i="148"/>
  <c r="W13" i="148"/>
  <c r="V13" i="148"/>
  <c r="O13" i="148"/>
  <c r="N13" i="148"/>
  <c r="Q13" i="148" s="1"/>
  <c r="M13" i="148"/>
  <c r="AF13" i="148" s="1"/>
  <c r="K13" i="148"/>
  <c r="G13" i="148"/>
  <c r="AD12" i="148"/>
  <c r="Z12" i="148"/>
  <c r="Y12" i="148"/>
  <c r="O12" i="148"/>
  <c r="K12" i="148"/>
  <c r="V11" i="148"/>
  <c r="U11" i="148"/>
  <c r="O11" i="148"/>
  <c r="M11" i="148"/>
  <c r="AF11" i="148" s="1"/>
  <c r="K11" i="148"/>
  <c r="G11" i="148"/>
  <c r="X10" i="148"/>
  <c r="W10" i="148"/>
  <c r="V10" i="148"/>
  <c r="U10" i="148"/>
  <c r="O10" i="148"/>
  <c r="M10" i="148"/>
  <c r="AF10" i="148" s="1"/>
  <c r="K10" i="148"/>
  <c r="G10" i="148"/>
  <c r="V9" i="148"/>
  <c r="U9" i="148"/>
  <c r="O9" i="148"/>
  <c r="M9" i="148"/>
  <c r="AF9" i="148" s="1"/>
  <c r="K9" i="148"/>
  <c r="G9" i="148"/>
  <c r="X8" i="148"/>
  <c r="W8" i="148"/>
  <c r="V8" i="148"/>
  <c r="O8" i="148"/>
  <c r="N8" i="148"/>
  <c r="Q8" i="148" s="1"/>
  <c r="M8" i="148"/>
  <c r="AF8" i="148" s="1"/>
  <c r="K8" i="148"/>
  <c r="G8" i="148"/>
  <c r="AD7" i="148"/>
  <c r="Z7" i="148"/>
  <c r="D19" i="147" s="1"/>
  <c r="Y7" i="148"/>
  <c r="Y2" i="148" s="1"/>
  <c r="K6" i="147" s="1"/>
  <c r="O7" i="148"/>
  <c r="K7" i="148"/>
  <c r="V6" i="148"/>
  <c r="U6" i="148"/>
  <c r="O6" i="148"/>
  <c r="M6" i="148"/>
  <c r="AF6" i="148" s="1"/>
  <c r="K6" i="148"/>
  <c r="G6" i="148"/>
  <c r="V5" i="148"/>
  <c r="O5" i="148"/>
  <c r="M5" i="148"/>
  <c r="AF5" i="148" s="1"/>
  <c r="K5" i="148"/>
  <c r="G5" i="148"/>
  <c r="F1" i="148" s="1"/>
  <c r="H2" i="148"/>
  <c r="H1" i="148"/>
  <c r="D1" i="148"/>
  <c r="M22" i="147"/>
  <c r="L22" i="147"/>
  <c r="K22" i="147"/>
  <c r="J22" i="147"/>
  <c r="I22" i="147"/>
  <c r="H22" i="147"/>
  <c r="G22" i="147"/>
  <c r="F22" i="147"/>
  <c r="E22" i="147"/>
  <c r="D22" i="147"/>
  <c r="M21" i="147"/>
  <c r="K21" i="147"/>
  <c r="J21" i="147"/>
  <c r="I21" i="147"/>
  <c r="H21" i="147"/>
  <c r="G21" i="147"/>
  <c r="E21" i="147"/>
  <c r="D21" i="147"/>
  <c r="M20" i="147"/>
  <c r="L20" i="147"/>
  <c r="K20" i="147"/>
  <c r="J20" i="147"/>
  <c r="I20" i="147"/>
  <c r="H20" i="147"/>
  <c r="G20" i="147"/>
  <c r="F20" i="147"/>
  <c r="E20" i="147"/>
  <c r="D20" i="147"/>
  <c r="M19" i="147"/>
  <c r="J19" i="147"/>
  <c r="I19" i="147"/>
  <c r="H19" i="147"/>
  <c r="G19" i="147"/>
  <c r="F19" i="147"/>
  <c r="E19" i="147"/>
  <c r="M18" i="147"/>
  <c r="J18" i="147"/>
  <c r="H18" i="147"/>
  <c r="G18" i="147"/>
  <c r="E18" i="147"/>
  <c r="D18" i="147"/>
  <c r="M17" i="147"/>
  <c r="L17" i="147"/>
  <c r="K17" i="147"/>
  <c r="J17" i="147"/>
  <c r="I17" i="147"/>
  <c r="H17" i="147"/>
  <c r="G17" i="147"/>
  <c r="F17" i="147"/>
  <c r="E17" i="147"/>
  <c r="D17" i="147"/>
  <c r="M16" i="147"/>
  <c r="L16" i="147"/>
  <c r="K16" i="147"/>
  <c r="J16" i="147"/>
  <c r="I16" i="147"/>
  <c r="H16" i="147"/>
  <c r="G16" i="147"/>
  <c r="F16" i="147"/>
  <c r="E16" i="147"/>
  <c r="D16" i="147"/>
  <c r="M13" i="147"/>
  <c r="L13" i="147"/>
  <c r="K13" i="147"/>
  <c r="I6" i="147" s="1"/>
  <c r="J13" i="147"/>
  <c r="I13" i="147"/>
  <c r="H13" i="147"/>
  <c r="G6" i="147" s="1"/>
  <c r="G13" i="147"/>
  <c r="F13" i="147"/>
  <c r="E13" i="147"/>
  <c r="D13" i="147"/>
  <c r="M6" i="147"/>
  <c r="F3" i="147"/>
  <c r="C3" i="147"/>
  <c r="G8" i="157" l="1"/>
  <c r="F8" i="157"/>
  <c r="E8" i="157"/>
  <c r="K15" i="155"/>
  <c r="I8" i="155" s="1"/>
  <c r="I7" i="155"/>
  <c r="F7" i="155"/>
  <c r="E7" i="155"/>
  <c r="G7" i="155"/>
  <c r="D15" i="155"/>
  <c r="K14" i="151"/>
  <c r="Q34" i="152"/>
  <c r="R27" i="152" s="1"/>
  <c r="P34" i="152"/>
  <c r="D2" i="152"/>
  <c r="P46" i="152"/>
  <c r="H14" i="151"/>
  <c r="Q46" i="152"/>
  <c r="R43" i="152" s="1"/>
  <c r="Q65" i="152"/>
  <c r="R60" i="152" s="1"/>
  <c r="P65" i="152"/>
  <c r="Q42" i="152"/>
  <c r="R35" i="152" s="1"/>
  <c r="P42" i="152"/>
  <c r="G14" i="149"/>
  <c r="G15" i="149" s="1"/>
  <c r="Q26" i="150"/>
  <c r="R20" i="150" s="1"/>
  <c r="P26" i="150"/>
  <c r="P49" i="150"/>
  <c r="Q49" i="150"/>
  <c r="N7" i="150"/>
  <c r="AF7" i="150"/>
  <c r="AG5" i="150" s="1"/>
  <c r="AE7" i="150"/>
  <c r="Q43" i="150"/>
  <c r="P43" i="150"/>
  <c r="P25" i="150"/>
  <c r="Q25" i="150"/>
  <c r="N19" i="150"/>
  <c r="AF19" i="150"/>
  <c r="AG13" i="150" s="1"/>
  <c r="AE19" i="150"/>
  <c r="Q42" i="150"/>
  <c r="P42" i="150"/>
  <c r="Q15" i="150"/>
  <c r="P15" i="150"/>
  <c r="Q24" i="150"/>
  <c r="P24" i="150"/>
  <c r="Q60" i="150"/>
  <c r="P60" i="150"/>
  <c r="Q31" i="150"/>
  <c r="P31" i="150"/>
  <c r="P28" i="150"/>
  <c r="Q28" i="150"/>
  <c r="Q51" i="150"/>
  <c r="P51" i="150"/>
  <c r="P62" i="150"/>
  <c r="Q62" i="150"/>
  <c r="P45" i="150"/>
  <c r="Q45" i="150"/>
  <c r="Q30" i="150"/>
  <c r="P30" i="150"/>
  <c r="Q27" i="150"/>
  <c r="P27" i="150"/>
  <c r="P22" i="150"/>
  <c r="Q22" i="150"/>
  <c r="N44" i="150"/>
  <c r="AF44" i="150"/>
  <c r="AG41" i="150" s="1"/>
  <c r="AE44" i="150"/>
  <c r="Q36" i="150"/>
  <c r="P36" i="150"/>
  <c r="N57" i="150"/>
  <c r="AF57" i="150"/>
  <c r="AG53" i="150" s="1"/>
  <c r="AE57" i="150"/>
  <c r="Q35" i="150"/>
  <c r="P35" i="150"/>
  <c r="Q59" i="150"/>
  <c r="P59" i="150"/>
  <c r="Q10" i="150"/>
  <c r="P10" i="150"/>
  <c r="Q18" i="150"/>
  <c r="P18" i="150"/>
  <c r="N52" i="150"/>
  <c r="AF52" i="150"/>
  <c r="AG45" i="150" s="1"/>
  <c r="AE52" i="150"/>
  <c r="Q41" i="150"/>
  <c r="P41" i="150"/>
  <c r="N12" i="150"/>
  <c r="AF12" i="150"/>
  <c r="AG8" i="150" s="1"/>
  <c r="AE12" i="150"/>
  <c r="Q6" i="150"/>
  <c r="P6" i="150"/>
  <c r="Q56" i="150"/>
  <c r="P56" i="150"/>
  <c r="Q9" i="150"/>
  <c r="P9" i="150"/>
  <c r="N33" i="150"/>
  <c r="AF33" i="150"/>
  <c r="AG27" i="150" s="1"/>
  <c r="AE33" i="150"/>
  <c r="Q5" i="150"/>
  <c r="P5" i="150"/>
  <c r="Q20" i="150"/>
  <c r="P20" i="150"/>
  <c r="Q32" i="150"/>
  <c r="P32" i="150"/>
  <c r="Q14" i="150"/>
  <c r="P14" i="150"/>
  <c r="P46" i="150"/>
  <c r="Q46" i="150"/>
  <c r="Q11" i="150"/>
  <c r="P11" i="150"/>
  <c r="Q48" i="150"/>
  <c r="P48" i="150"/>
  <c r="AF63" i="150"/>
  <c r="AG58" i="150" s="1"/>
  <c r="AE63" i="150"/>
  <c r="N63" i="150"/>
  <c r="AF40" i="150"/>
  <c r="AG34" i="150" s="1"/>
  <c r="N40" i="150"/>
  <c r="AE40" i="150"/>
  <c r="N39" i="148"/>
  <c r="AF39" i="148"/>
  <c r="AE39" i="148"/>
  <c r="N41" i="148"/>
  <c r="AF41" i="148"/>
  <c r="AE41" i="148"/>
  <c r="N46" i="148"/>
  <c r="AF46" i="148"/>
  <c r="AE46" i="148"/>
  <c r="AF54" i="148"/>
  <c r="AE54" i="148"/>
  <c r="N54" i="148"/>
  <c r="N59" i="148"/>
  <c r="AF59" i="148"/>
  <c r="AE59" i="148"/>
  <c r="AF17" i="148"/>
  <c r="AE17" i="148"/>
  <c r="N17" i="148"/>
  <c r="N22" i="148"/>
  <c r="AF22" i="148"/>
  <c r="AE22" i="148"/>
  <c r="N63" i="148"/>
  <c r="AF63" i="148"/>
  <c r="AE63" i="148"/>
  <c r="N19" i="148"/>
  <c r="AF19" i="148"/>
  <c r="AE19" i="148"/>
  <c r="N57" i="148"/>
  <c r="AF57" i="148"/>
  <c r="AE57" i="148"/>
  <c r="N21" i="148"/>
  <c r="AF21" i="148"/>
  <c r="AE21" i="148"/>
  <c r="M27" i="148"/>
  <c r="F2" i="148"/>
  <c r="I3" i="147"/>
  <c r="N36" i="148"/>
  <c r="AF36" i="148"/>
  <c r="M43" i="148"/>
  <c r="AE36" i="148"/>
  <c r="N40" i="148"/>
  <c r="AF40" i="148"/>
  <c r="AE40" i="148"/>
  <c r="N42" i="148"/>
  <c r="AF42" i="148"/>
  <c r="AE42" i="148"/>
  <c r="N44" i="148"/>
  <c r="M47" i="148"/>
  <c r="AF44" i="148"/>
  <c r="AE44" i="148"/>
  <c r="N18" i="148"/>
  <c r="AF18" i="148"/>
  <c r="AE18" i="148"/>
  <c r="N23" i="148"/>
  <c r="AF23" i="148"/>
  <c r="AE23" i="148"/>
  <c r="AF38" i="148"/>
  <c r="AE38" i="148"/>
  <c r="N38" i="148"/>
  <c r="N45" i="148"/>
  <c r="AF45" i="148"/>
  <c r="AE45" i="148"/>
  <c r="N58" i="148"/>
  <c r="AF58" i="148"/>
  <c r="AE58" i="148"/>
  <c r="N62" i="148"/>
  <c r="AF62" i="148"/>
  <c r="M66" i="148"/>
  <c r="AE62" i="148"/>
  <c r="N56" i="148"/>
  <c r="M60" i="148"/>
  <c r="AF56" i="148"/>
  <c r="AE56" i="148"/>
  <c r="M7" i="148"/>
  <c r="M12" i="148"/>
  <c r="E6" i="147"/>
  <c r="F6" i="147"/>
  <c r="N10" i="148"/>
  <c r="N15" i="148"/>
  <c r="N28" i="148"/>
  <c r="N31" i="148"/>
  <c r="N33" i="148"/>
  <c r="N52" i="148"/>
  <c r="N5" i="148"/>
  <c r="N6" i="148"/>
  <c r="P8" i="148"/>
  <c r="N9" i="148"/>
  <c r="N11" i="148"/>
  <c r="P13" i="148"/>
  <c r="N14" i="148"/>
  <c r="P16" i="148"/>
  <c r="N30" i="148"/>
  <c r="P32" i="148"/>
  <c r="P34" i="148"/>
  <c r="P37" i="148"/>
  <c r="N51" i="148"/>
  <c r="P53" i="148"/>
  <c r="N26" i="148"/>
  <c r="N29" i="148"/>
  <c r="N50" i="148"/>
  <c r="N25" i="148"/>
  <c r="N48" i="148"/>
  <c r="N49" i="148"/>
  <c r="N65" i="148"/>
  <c r="AE16" i="148"/>
  <c r="M20" i="148"/>
  <c r="AE34" i="148"/>
  <c r="AE37" i="148"/>
  <c r="AE53" i="148"/>
  <c r="AE15" i="148"/>
  <c r="P24" i="148"/>
  <c r="AE31" i="148"/>
  <c r="AE33" i="148"/>
  <c r="AE52" i="148"/>
  <c r="P61" i="148"/>
  <c r="P64" i="148"/>
  <c r="F21" i="147"/>
  <c r="AE5" i="148"/>
  <c r="AE6" i="148"/>
  <c r="AE8" i="148"/>
  <c r="AE9" i="148"/>
  <c r="AE11" i="148"/>
  <c r="AE13" i="148"/>
  <c r="AE14" i="148"/>
  <c r="AE30" i="148"/>
  <c r="AE32" i="148"/>
  <c r="AE51" i="148"/>
  <c r="M55" i="148"/>
  <c r="Z2" i="148"/>
  <c r="L6" i="147" s="1"/>
  <c r="AE10" i="148"/>
  <c r="AE26" i="148"/>
  <c r="AE28" i="148"/>
  <c r="AE29" i="148"/>
  <c r="M35" i="148"/>
  <c r="AE50" i="148"/>
  <c r="AD69" i="146"/>
  <c r="Z69" i="146"/>
  <c r="M19" i="145" s="1"/>
  <c r="Y69" i="146"/>
  <c r="O69" i="146"/>
  <c r="M69" i="146"/>
  <c r="N69" i="146" s="1"/>
  <c r="K69" i="146"/>
  <c r="AF68" i="146"/>
  <c r="AE68" i="146"/>
  <c r="V68" i="146"/>
  <c r="U68" i="146"/>
  <c r="O68" i="146"/>
  <c r="N68" i="146"/>
  <c r="M68" i="146"/>
  <c r="K68" i="146"/>
  <c r="G68" i="146"/>
  <c r="V67" i="146"/>
  <c r="M67" i="146" s="1"/>
  <c r="U67" i="146"/>
  <c r="O67" i="146"/>
  <c r="N67" i="146"/>
  <c r="Q67" i="146" s="1"/>
  <c r="K67" i="146"/>
  <c r="G67" i="146"/>
  <c r="AF66" i="146"/>
  <c r="X66" i="146"/>
  <c r="W66" i="146"/>
  <c r="V66" i="146"/>
  <c r="M66" i="146" s="1"/>
  <c r="U66" i="146"/>
  <c r="O66" i="146"/>
  <c r="K66" i="146"/>
  <c r="G66" i="146"/>
  <c r="AF65" i="146"/>
  <c r="AE65" i="146"/>
  <c r="V65" i="146"/>
  <c r="M65" i="146" s="1"/>
  <c r="U65" i="146"/>
  <c r="P65" i="146"/>
  <c r="O65" i="146"/>
  <c r="N65" i="146"/>
  <c r="Q65" i="146" s="1"/>
  <c r="K65" i="146"/>
  <c r="G65" i="146"/>
  <c r="AE64" i="146"/>
  <c r="V64" i="146"/>
  <c r="U64" i="146"/>
  <c r="O64" i="146"/>
  <c r="N64" i="146"/>
  <c r="M64" i="146"/>
  <c r="AF64" i="146" s="1"/>
  <c r="K64" i="146"/>
  <c r="G64" i="146"/>
  <c r="AF63" i="146"/>
  <c r="AE63" i="146"/>
  <c r="V63" i="146"/>
  <c r="U63" i="146"/>
  <c r="Q63" i="146"/>
  <c r="P63" i="146"/>
  <c r="O63" i="146"/>
  <c r="M63" i="146"/>
  <c r="N63" i="146" s="1"/>
  <c r="K63" i="146"/>
  <c r="G63" i="146"/>
  <c r="X62" i="146"/>
  <c r="W62" i="146"/>
  <c r="V62" i="146"/>
  <c r="M62" i="146" s="1"/>
  <c r="Q62" i="146"/>
  <c r="P62" i="146"/>
  <c r="O62" i="146"/>
  <c r="N62" i="146"/>
  <c r="K62" i="146"/>
  <c r="G62" i="146"/>
  <c r="AF61" i="146"/>
  <c r="AG57" i="146" s="1"/>
  <c r="AD61" i="146"/>
  <c r="Z61" i="146"/>
  <c r="Y61" i="146"/>
  <c r="J18" i="145" s="1"/>
  <c r="O61" i="146"/>
  <c r="K61" i="146"/>
  <c r="AF60" i="146"/>
  <c r="AE60" i="146"/>
  <c r="V60" i="146"/>
  <c r="U60" i="146"/>
  <c r="O60" i="146"/>
  <c r="N60" i="146"/>
  <c r="Q60" i="146" s="1"/>
  <c r="M60" i="146"/>
  <c r="K60" i="146"/>
  <c r="G60" i="146"/>
  <c r="V59" i="146"/>
  <c r="M59" i="146" s="1"/>
  <c r="U59" i="146"/>
  <c r="O59" i="146"/>
  <c r="K59" i="146"/>
  <c r="G59" i="146"/>
  <c r="AF58" i="146"/>
  <c r="AE58" i="146"/>
  <c r="V58" i="146"/>
  <c r="M58" i="146" s="1"/>
  <c r="U58" i="146"/>
  <c r="P58" i="146"/>
  <c r="O58" i="146"/>
  <c r="N58" i="146"/>
  <c r="Q58" i="146" s="1"/>
  <c r="K58" i="146"/>
  <c r="G58" i="146"/>
  <c r="AF57" i="146"/>
  <c r="AE57" i="146"/>
  <c r="V57" i="146"/>
  <c r="O57" i="146"/>
  <c r="N57" i="146"/>
  <c r="M57" i="146"/>
  <c r="M61" i="146" s="1"/>
  <c r="K57" i="146"/>
  <c r="G57" i="146"/>
  <c r="AD56" i="146"/>
  <c r="Z56" i="146"/>
  <c r="Y56" i="146"/>
  <c r="I18" i="145" s="1"/>
  <c r="O56" i="146"/>
  <c r="K56" i="146"/>
  <c r="V55" i="146"/>
  <c r="U55" i="146"/>
  <c r="O55" i="146"/>
  <c r="N55" i="146"/>
  <c r="Q55" i="146" s="1"/>
  <c r="M55" i="146"/>
  <c r="K55" i="146"/>
  <c r="G55" i="146"/>
  <c r="AF54" i="146"/>
  <c r="AE54" i="146"/>
  <c r="V54" i="146"/>
  <c r="U54" i="146"/>
  <c r="O54" i="146"/>
  <c r="N54" i="146"/>
  <c r="M54" i="146"/>
  <c r="K54" i="146"/>
  <c r="G54" i="146"/>
  <c r="V53" i="146"/>
  <c r="M53" i="146" s="1"/>
  <c r="U53" i="146"/>
  <c r="Q53" i="146"/>
  <c r="P53" i="146"/>
  <c r="O53" i="146"/>
  <c r="N53" i="146"/>
  <c r="K53" i="146"/>
  <c r="G53" i="146"/>
  <c r="AF52" i="146"/>
  <c r="V52" i="146"/>
  <c r="M52" i="146" s="1"/>
  <c r="U52" i="146"/>
  <c r="O52" i="146"/>
  <c r="K52" i="146"/>
  <c r="G52" i="146"/>
  <c r="AF51" i="146"/>
  <c r="AE51" i="146"/>
  <c r="V51" i="146"/>
  <c r="U51" i="146"/>
  <c r="O51" i="146"/>
  <c r="M51" i="146"/>
  <c r="M56" i="146" s="1"/>
  <c r="AF56" i="146" s="1"/>
  <c r="AG49" i="146" s="1"/>
  <c r="K51" i="146"/>
  <c r="G51" i="146"/>
  <c r="V50" i="146"/>
  <c r="M50" i="146" s="1"/>
  <c r="U50" i="146"/>
  <c r="O50" i="146"/>
  <c r="K50" i="146"/>
  <c r="G50" i="146"/>
  <c r="AF49" i="146"/>
  <c r="AE49" i="146"/>
  <c r="V49" i="146"/>
  <c r="M49" i="146" s="1"/>
  <c r="N49" i="146" s="1"/>
  <c r="Q49" i="146"/>
  <c r="P49" i="146"/>
  <c r="O49" i="146"/>
  <c r="K49" i="146"/>
  <c r="G49" i="146"/>
  <c r="AD48" i="146"/>
  <c r="Z48" i="146"/>
  <c r="Y48" i="146"/>
  <c r="O48" i="146"/>
  <c r="M48" i="146"/>
  <c r="AF48" i="146" s="1"/>
  <c r="AG45" i="146" s="1"/>
  <c r="K48" i="146"/>
  <c r="AF47" i="146"/>
  <c r="V47" i="146"/>
  <c r="M47" i="146" s="1"/>
  <c r="U47" i="146"/>
  <c r="O47" i="146"/>
  <c r="K47" i="146"/>
  <c r="G47" i="146"/>
  <c r="V46" i="146"/>
  <c r="U46" i="146"/>
  <c r="O46" i="146"/>
  <c r="N46" i="146"/>
  <c r="Q46" i="146" s="1"/>
  <c r="M46" i="146"/>
  <c r="K46" i="146"/>
  <c r="G46" i="146"/>
  <c r="AF45" i="146"/>
  <c r="AE45" i="146"/>
  <c r="V45" i="146"/>
  <c r="M45" i="146" s="1"/>
  <c r="O45" i="146"/>
  <c r="N45" i="146"/>
  <c r="K45" i="146"/>
  <c r="G45" i="146"/>
  <c r="AD44" i="146"/>
  <c r="L21" i="145" s="1"/>
  <c r="Z44" i="146"/>
  <c r="L19" i="145" s="1"/>
  <c r="Y44" i="146"/>
  <c r="O44" i="146"/>
  <c r="K44" i="146"/>
  <c r="V43" i="146"/>
  <c r="M43" i="146" s="1"/>
  <c r="U43" i="146"/>
  <c r="O43" i="146"/>
  <c r="K43" i="146"/>
  <c r="G43" i="146"/>
  <c r="AF42" i="146"/>
  <c r="AE42" i="146"/>
  <c r="V42" i="146"/>
  <c r="U42" i="146"/>
  <c r="O42" i="146"/>
  <c r="N42" i="146"/>
  <c r="P42" i="146" s="1"/>
  <c r="M42" i="146"/>
  <c r="K42" i="146"/>
  <c r="G42" i="146"/>
  <c r="X41" i="146"/>
  <c r="W41" i="146"/>
  <c r="V41" i="146"/>
  <c r="U41" i="146"/>
  <c r="O41" i="146"/>
  <c r="N41" i="146"/>
  <c r="M41" i="146"/>
  <c r="K41" i="146"/>
  <c r="G41" i="146"/>
  <c r="AF40" i="146"/>
  <c r="V40" i="146"/>
  <c r="M40" i="146" s="1"/>
  <c r="U40" i="146"/>
  <c r="O40" i="146"/>
  <c r="K40" i="146"/>
  <c r="G40" i="146"/>
  <c r="V39" i="146"/>
  <c r="U39" i="146"/>
  <c r="O39" i="146"/>
  <c r="N39" i="146"/>
  <c r="Q39" i="146" s="1"/>
  <c r="M39" i="146"/>
  <c r="K39" i="146"/>
  <c r="G39" i="146"/>
  <c r="AF38" i="146"/>
  <c r="AE38" i="146"/>
  <c r="V38" i="146"/>
  <c r="U38" i="146"/>
  <c r="O38" i="146"/>
  <c r="N38" i="146"/>
  <c r="M38" i="146"/>
  <c r="K38" i="146"/>
  <c r="G38" i="146"/>
  <c r="AE37" i="146"/>
  <c r="X37" i="146"/>
  <c r="W37" i="146"/>
  <c r="V37" i="146"/>
  <c r="O37" i="146"/>
  <c r="M37" i="146"/>
  <c r="AF37" i="146" s="1"/>
  <c r="K37" i="146"/>
  <c r="G37" i="146"/>
  <c r="AD36" i="146"/>
  <c r="Z36" i="146"/>
  <c r="Y36" i="146"/>
  <c r="O36" i="146"/>
  <c r="M36" i="146"/>
  <c r="N36" i="146" s="1"/>
  <c r="K36" i="146"/>
  <c r="AF35" i="146"/>
  <c r="AE35" i="146"/>
  <c r="V35" i="146"/>
  <c r="M35" i="146" s="1"/>
  <c r="N35" i="146" s="1"/>
  <c r="U35" i="146"/>
  <c r="Q35" i="146"/>
  <c r="P35" i="146"/>
  <c r="O35" i="146"/>
  <c r="K35" i="146"/>
  <c r="G35" i="146"/>
  <c r="AF34" i="146"/>
  <c r="AE34" i="146"/>
  <c r="V34" i="146"/>
  <c r="U34" i="146"/>
  <c r="O34" i="146"/>
  <c r="N34" i="146"/>
  <c r="M34" i="146"/>
  <c r="K34" i="146"/>
  <c r="G34" i="146"/>
  <c r="AF33" i="146"/>
  <c r="V33" i="146"/>
  <c r="M33" i="146" s="1"/>
  <c r="U33" i="146"/>
  <c r="O33" i="146"/>
  <c r="K33" i="146"/>
  <c r="G33" i="146"/>
  <c r="X32" i="146"/>
  <c r="W32" i="146"/>
  <c r="V32" i="146"/>
  <c r="M32" i="146" s="1"/>
  <c r="U32" i="146"/>
  <c r="Q32" i="146"/>
  <c r="P32" i="146"/>
  <c r="O32" i="146"/>
  <c r="N32" i="146"/>
  <c r="K32" i="146"/>
  <c r="G32" i="146"/>
  <c r="AF31" i="146"/>
  <c r="V31" i="146"/>
  <c r="M31" i="146" s="1"/>
  <c r="U31" i="146"/>
  <c r="O31" i="146"/>
  <c r="K31" i="146"/>
  <c r="G31" i="146"/>
  <c r="AF30" i="146"/>
  <c r="AE30" i="146"/>
  <c r="V30" i="146"/>
  <c r="U30" i="146"/>
  <c r="O30" i="146"/>
  <c r="M30" i="146"/>
  <c r="N30" i="146" s="1"/>
  <c r="K30" i="146"/>
  <c r="G30" i="146"/>
  <c r="V29" i="146"/>
  <c r="M29" i="146" s="1"/>
  <c r="U29" i="146"/>
  <c r="O29" i="146"/>
  <c r="K29" i="146"/>
  <c r="G29" i="146"/>
  <c r="AF28" i="146"/>
  <c r="AE28" i="146"/>
  <c r="X28" i="146"/>
  <c r="W28" i="146"/>
  <c r="V28" i="146"/>
  <c r="M28" i="146" s="1"/>
  <c r="N28" i="146" s="1"/>
  <c r="P28" i="146" s="1"/>
  <c r="Q28" i="146"/>
  <c r="O28" i="146"/>
  <c r="K28" i="146"/>
  <c r="G28" i="146"/>
  <c r="AD27" i="146"/>
  <c r="Z27" i="146"/>
  <c r="Y27" i="146"/>
  <c r="O27" i="146"/>
  <c r="N27" i="146"/>
  <c r="Q27" i="146" s="1"/>
  <c r="R21" i="146" s="1"/>
  <c r="M27" i="146"/>
  <c r="K27" i="146"/>
  <c r="AF26" i="146"/>
  <c r="AE26" i="146"/>
  <c r="V26" i="146"/>
  <c r="U26" i="146"/>
  <c r="O26" i="146"/>
  <c r="N26" i="146"/>
  <c r="M26" i="146"/>
  <c r="K26" i="146"/>
  <c r="G26" i="146"/>
  <c r="V25" i="146"/>
  <c r="M25" i="146" s="1"/>
  <c r="U25" i="146"/>
  <c r="Q25" i="146"/>
  <c r="P25" i="146"/>
  <c r="O25" i="146"/>
  <c r="N25" i="146"/>
  <c r="K25" i="146"/>
  <c r="G25" i="146"/>
  <c r="AF24" i="146"/>
  <c r="V24" i="146"/>
  <c r="M24" i="146" s="1"/>
  <c r="U24" i="146"/>
  <c r="O24" i="146"/>
  <c r="K24" i="146"/>
  <c r="G24" i="146"/>
  <c r="AF23" i="146"/>
  <c r="AE23" i="146"/>
  <c r="V23" i="146"/>
  <c r="U23" i="146"/>
  <c r="O23" i="146"/>
  <c r="M23" i="146"/>
  <c r="N23" i="146" s="1"/>
  <c r="K23" i="146"/>
  <c r="G23" i="146"/>
  <c r="V22" i="146"/>
  <c r="M22" i="146" s="1"/>
  <c r="U22" i="146"/>
  <c r="O22" i="146"/>
  <c r="K22" i="146"/>
  <c r="G22" i="146"/>
  <c r="AF21" i="146"/>
  <c r="AE21" i="146"/>
  <c r="V21" i="146"/>
  <c r="M21" i="146" s="1"/>
  <c r="N21" i="146" s="1"/>
  <c r="Q21" i="146"/>
  <c r="P21" i="146"/>
  <c r="O21" i="146"/>
  <c r="K21" i="146"/>
  <c r="G21" i="146"/>
  <c r="AD20" i="146"/>
  <c r="Z20" i="146"/>
  <c r="Y20" i="146"/>
  <c r="O20" i="146"/>
  <c r="N20" i="146"/>
  <c r="Q20" i="146" s="1"/>
  <c r="R13" i="146" s="1"/>
  <c r="M20" i="146"/>
  <c r="AE20" i="146" s="1"/>
  <c r="K20" i="146"/>
  <c r="AF19" i="146"/>
  <c r="V19" i="146"/>
  <c r="M19" i="146" s="1"/>
  <c r="U19" i="146"/>
  <c r="O19" i="146"/>
  <c r="K19" i="146"/>
  <c r="G19" i="146"/>
  <c r="V18" i="146"/>
  <c r="U18" i="146"/>
  <c r="O18" i="146"/>
  <c r="N18" i="146"/>
  <c r="Q18" i="146" s="1"/>
  <c r="M18" i="146"/>
  <c r="K18" i="146"/>
  <c r="G18" i="146"/>
  <c r="AF17" i="146"/>
  <c r="AE17" i="146"/>
  <c r="V17" i="146"/>
  <c r="U17" i="146"/>
  <c r="O17" i="146"/>
  <c r="N17" i="146"/>
  <c r="M17" i="146"/>
  <c r="K17" i="146"/>
  <c r="G17" i="146"/>
  <c r="V16" i="146"/>
  <c r="M16" i="146" s="1"/>
  <c r="U16" i="146"/>
  <c r="O16" i="146"/>
  <c r="N16" i="146"/>
  <c r="Q16" i="146" s="1"/>
  <c r="K16" i="146"/>
  <c r="G16" i="146"/>
  <c r="AF15" i="146"/>
  <c r="V15" i="146"/>
  <c r="M15" i="146" s="1"/>
  <c r="U15" i="146"/>
  <c r="O15" i="146"/>
  <c r="K15" i="146"/>
  <c r="G15" i="146"/>
  <c r="AF14" i="146"/>
  <c r="AE14" i="146"/>
  <c r="V14" i="146"/>
  <c r="U14" i="146"/>
  <c r="O14" i="146"/>
  <c r="M14" i="146"/>
  <c r="N14" i="146" s="1"/>
  <c r="K14" i="146"/>
  <c r="G14" i="146"/>
  <c r="X13" i="146"/>
  <c r="W13" i="146"/>
  <c r="V13" i="146"/>
  <c r="O13" i="146"/>
  <c r="N13" i="146"/>
  <c r="M13" i="146"/>
  <c r="K13" i="146"/>
  <c r="G13" i="146"/>
  <c r="AF12" i="146"/>
  <c r="AG8" i="146" s="1"/>
  <c r="AD12" i="146"/>
  <c r="E21" i="145" s="1"/>
  <c r="Z12" i="146"/>
  <c r="E19" i="145" s="1"/>
  <c r="Y12" i="146"/>
  <c r="E18" i="145" s="1"/>
  <c r="O12" i="146"/>
  <c r="N12" i="146"/>
  <c r="M12" i="146"/>
  <c r="AE12" i="146" s="1"/>
  <c r="K12" i="146"/>
  <c r="V11" i="146"/>
  <c r="U11" i="146"/>
  <c r="O11" i="146"/>
  <c r="N11" i="146"/>
  <c r="Q11" i="146" s="1"/>
  <c r="M11" i="146"/>
  <c r="K11" i="146"/>
  <c r="G11" i="146"/>
  <c r="AF10" i="146"/>
  <c r="AE10" i="146"/>
  <c r="X10" i="146"/>
  <c r="W10" i="146"/>
  <c r="V10" i="146"/>
  <c r="M10" i="146" s="1"/>
  <c r="N10" i="146" s="1"/>
  <c r="U10" i="146"/>
  <c r="Q10" i="146"/>
  <c r="P10" i="146"/>
  <c r="O10" i="146"/>
  <c r="K10" i="146"/>
  <c r="G10" i="146"/>
  <c r="AF9" i="146"/>
  <c r="AE9" i="146"/>
  <c r="V9" i="146"/>
  <c r="U9" i="146"/>
  <c r="Q9" i="146"/>
  <c r="P9" i="146"/>
  <c r="O9" i="146"/>
  <c r="N9" i="146"/>
  <c r="M9" i="146"/>
  <c r="K9" i="146"/>
  <c r="G9" i="146"/>
  <c r="AE8" i="146"/>
  <c r="X8" i="146"/>
  <c r="W8" i="146"/>
  <c r="V8" i="146"/>
  <c r="O8" i="146"/>
  <c r="N8" i="146"/>
  <c r="M8" i="146"/>
  <c r="AF8" i="146" s="1"/>
  <c r="K8" i="146"/>
  <c r="G8" i="146"/>
  <c r="F1" i="146" s="1"/>
  <c r="AD7" i="146"/>
  <c r="AD2" i="146" s="1"/>
  <c r="N6" i="145" s="1"/>
  <c r="Z7" i="146"/>
  <c r="Y7" i="146"/>
  <c r="D18" i="145" s="1"/>
  <c r="O7" i="146"/>
  <c r="M7" i="146"/>
  <c r="AE7" i="146" s="1"/>
  <c r="K7" i="146"/>
  <c r="V6" i="146"/>
  <c r="U6" i="146"/>
  <c r="Q6" i="146"/>
  <c r="P6" i="146"/>
  <c r="O6" i="146"/>
  <c r="N6" i="146"/>
  <c r="M6" i="146"/>
  <c r="K6" i="146"/>
  <c r="G6" i="146"/>
  <c r="AF5" i="146"/>
  <c r="AE5" i="146"/>
  <c r="V5" i="146"/>
  <c r="M5" i="146" s="1"/>
  <c r="P5" i="146"/>
  <c r="O5" i="146"/>
  <c r="N5" i="146"/>
  <c r="Q5" i="146" s="1"/>
  <c r="K5" i="146"/>
  <c r="G5" i="146"/>
  <c r="Z2" i="146"/>
  <c r="L6" i="145" s="1"/>
  <c r="Y2" i="146"/>
  <c r="K6" i="145" s="1"/>
  <c r="H2" i="146"/>
  <c r="F2" i="146"/>
  <c r="H1" i="146"/>
  <c r="D1" i="146"/>
  <c r="M22" i="145"/>
  <c r="L22" i="145"/>
  <c r="K22" i="145"/>
  <c r="J22" i="145"/>
  <c r="I22" i="145"/>
  <c r="H22" i="145"/>
  <c r="G22" i="145"/>
  <c r="F22" i="145"/>
  <c r="E22" i="145"/>
  <c r="D22" i="145"/>
  <c r="M21" i="145"/>
  <c r="K21" i="145"/>
  <c r="J21" i="145"/>
  <c r="I21" i="145"/>
  <c r="H21" i="145"/>
  <c r="G21" i="145"/>
  <c r="F21" i="145"/>
  <c r="D21" i="145"/>
  <c r="M20" i="145"/>
  <c r="L20" i="145"/>
  <c r="K20" i="145"/>
  <c r="J20" i="145"/>
  <c r="I20" i="145"/>
  <c r="H20" i="145"/>
  <c r="G20" i="145"/>
  <c r="F20" i="145"/>
  <c r="E20" i="145"/>
  <c r="D20" i="145"/>
  <c r="K19" i="145"/>
  <c r="J19" i="145"/>
  <c r="I19" i="145"/>
  <c r="H19" i="145"/>
  <c r="G19" i="145"/>
  <c r="F19" i="145"/>
  <c r="D19" i="145"/>
  <c r="M18" i="145"/>
  <c r="L18" i="145"/>
  <c r="K18" i="145"/>
  <c r="H18" i="145"/>
  <c r="G18" i="145"/>
  <c r="F18" i="145"/>
  <c r="M17" i="145"/>
  <c r="L17" i="145"/>
  <c r="K17" i="145"/>
  <c r="J17" i="145"/>
  <c r="I17" i="145"/>
  <c r="H17" i="145"/>
  <c r="G17" i="145"/>
  <c r="F17" i="145"/>
  <c r="E17" i="145"/>
  <c r="D17" i="145"/>
  <c r="M16" i="145"/>
  <c r="L16" i="145"/>
  <c r="K16" i="145"/>
  <c r="J16" i="145"/>
  <c r="I16" i="145"/>
  <c r="H16" i="145"/>
  <c r="G16" i="145"/>
  <c r="F16" i="145"/>
  <c r="E16" i="145"/>
  <c r="D16" i="145"/>
  <c r="M13" i="145"/>
  <c r="L13" i="145"/>
  <c r="K13" i="145"/>
  <c r="I6" i="145" s="1"/>
  <c r="J13" i="145"/>
  <c r="I13" i="145"/>
  <c r="H13" i="145"/>
  <c r="G13" i="145"/>
  <c r="F13" i="145"/>
  <c r="E13" i="145"/>
  <c r="E6" i="145" s="1"/>
  <c r="D13" i="145"/>
  <c r="M6" i="145"/>
  <c r="I3" i="145"/>
  <c r="F3" i="145"/>
  <c r="C3" i="145"/>
  <c r="G8" i="155" l="1"/>
  <c r="F8" i="155"/>
  <c r="E8" i="155"/>
  <c r="H15" i="151"/>
  <c r="E7" i="151"/>
  <c r="G7" i="151"/>
  <c r="F7" i="151"/>
  <c r="I7" i="151"/>
  <c r="K15" i="151"/>
  <c r="I8" i="151" s="1"/>
  <c r="Q33" i="150"/>
  <c r="R27" i="150" s="1"/>
  <c r="K14" i="149"/>
  <c r="P33" i="150"/>
  <c r="D14" i="149"/>
  <c r="D2" i="150"/>
  <c r="Q7" i="150"/>
  <c r="R5" i="150" s="1"/>
  <c r="P7" i="150"/>
  <c r="Q63" i="150"/>
  <c r="R58" i="150" s="1"/>
  <c r="P63" i="150"/>
  <c r="M14" i="149"/>
  <c r="M15" i="149" s="1"/>
  <c r="E14" i="149"/>
  <c r="E15" i="149" s="1"/>
  <c r="Q12" i="150"/>
  <c r="R8" i="150" s="1"/>
  <c r="P12" i="150"/>
  <c r="F14" i="149"/>
  <c r="F15" i="149" s="1"/>
  <c r="Q19" i="150"/>
  <c r="R13" i="150" s="1"/>
  <c r="P19" i="150"/>
  <c r="Q57" i="150"/>
  <c r="R53" i="150" s="1"/>
  <c r="P57" i="150"/>
  <c r="J14" i="149"/>
  <c r="J15" i="149" s="1"/>
  <c r="I14" i="149"/>
  <c r="I15" i="149" s="1"/>
  <c r="Q52" i="150"/>
  <c r="R45" i="150" s="1"/>
  <c r="P52" i="150"/>
  <c r="Q40" i="150"/>
  <c r="R34" i="150" s="1"/>
  <c r="P40" i="150"/>
  <c r="L14" i="149"/>
  <c r="L15" i="149" s="1"/>
  <c r="H14" i="149"/>
  <c r="H15" i="149" s="1"/>
  <c r="P44" i="150"/>
  <c r="Q44" i="150"/>
  <c r="R41" i="150" s="1"/>
  <c r="Q54" i="148"/>
  <c r="P54" i="148"/>
  <c r="Q52" i="148"/>
  <c r="P52" i="148"/>
  <c r="N60" i="148"/>
  <c r="AF60" i="148"/>
  <c r="AG56" i="148" s="1"/>
  <c r="AE60" i="148"/>
  <c r="Q38" i="148"/>
  <c r="P38" i="148"/>
  <c r="Q44" i="148"/>
  <c r="P44" i="148"/>
  <c r="N20" i="148"/>
  <c r="AF20" i="148"/>
  <c r="AG13" i="148" s="1"/>
  <c r="AE20" i="148"/>
  <c r="Q33" i="148"/>
  <c r="P33" i="148"/>
  <c r="Q56" i="148"/>
  <c r="P56" i="148"/>
  <c r="AF27" i="148"/>
  <c r="AG21" i="148" s="1"/>
  <c r="AE27" i="148"/>
  <c r="N27" i="148"/>
  <c r="Q63" i="148"/>
  <c r="P63" i="148"/>
  <c r="Q31" i="148"/>
  <c r="P31" i="148"/>
  <c r="Q45" i="148"/>
  <c r="P45" i="148"/>
  <c r="N55" i="148"/>
  <c r="AF55" i="148"/>
  <c r="AG48" i="148" s="1"/>
  <c r="AE55" i="148"/>
  <c r="Q65" i="148"/>
  <c r="P65" i="148"/>
  <c r="Q30" i="148"/>
  <c r="P30" i="148"/>
  <c r="Q28" i="148"/>
  <c r="P28" i="148"/>
  <c r="AF66" i="148"/>
  <c r="AG61" i="148" s="1"/>
  <c r="AE66" i="148"/>
  <c r="N66" i="148"/>
  <c r="Q42" i="148"/>
  <c r="P42" i="148"/>
  <c r="N47" i="148"/>
  <c r="AF47" i="148"/>
  <c r="AG44" i="148" s="1"/>
  <c r="AE47" i="148"/>
  <c r="Q49" i="148"/>
  <c r="P49" i="148"/>
  <c r="Q15" i="148"/>
  <c r="P15" i="148"/>
  <c r="Q21" i="148"/>
  <c r="P21" i="148"/>
  <c r="Q22" i="148"/>
  <c r="P22" i="148"/>
  <c r="Q46" i="148"/>
  <c r="P46" i="148"/>
  <c r="Q5" i="148"/>
  <c r="P5" i="148"/>
  <c r="Q48" i="148"/>
  <c r="P48" i="148"/>
  <c r="Q14" i="148"/>
  <c r="P14" i="148"/>
  <c r="Q10" i="148"/>
  <c r="P10" i="148"/>
  <c r="Q62" i="148"/>
  <c r="P62" i="148"/>
  <c r="Q23" i="148"/>
  <c r="P23" i="148"/>
  <c r="Q17" i="148"/>
  <c r="P17" i="148"/>
  <c r="Q25" i="148"/>
  <c r="P25" i="148"/>
  <c r="Q40" i="148"/>
  <c r="P40" i="148"/>
  <c r="Q50" i="148"/>
  <c r="P50" i="148"/>
  <c r="Q11" i="148"/>
  <c r="P11" i="148"/>
  <c r="Q57" i="148"/>
  <c r="P57" i="148"/>
  <c r="Q41" i="148"/>
  <c r="P41" i="148"/>
  <c r="Q29" i="148"/>
  <c r="P29" i="148"/>
  <c r="Q9" i="148"/>
  <c r="P9" i="148"/>
  <c r="AF12" i="148"/>
  <c r="AG8" i="148" s="1"/>
  <c r="AE12" i="148"/>
  <c r="N12" i="148"/>
  <c r="P58" i="148"/>
  <c r="Q58" i="148"/>
  <c r="Q18" i="148"/>
  <c r="P18" i="148"/>
  <c r="N43" i="148"/>
  <c r="AF43" i="148"/>
  <c r="AG36" i="148" s="1"/>
  <c r="AE43" i="148"/>
  <c r="Q51" i="148"/>
  <c r="P51" i="148"/>
  <c r="N35" i="148"/>
  <c r="AF35" i="148"/>
  <c r="AG28" i="148" s="1"/>
  <c r="AE35" i="148"/>
  <c r="Q26" i="148"/>
  <c r="P26" i="148"/>
  <c r="AF7" i="148"/>
  <c r="AG5" i="148" s="1"/>
  <c r="AE7" i="148"/>
  <c r="N7" i="148"/>
  <c r="Q6" i="148"/>
  <c r="P6" i="148"/>
  <c r="Q36" i="148"/>
  <c r="P36" i="148"/>
  <c r="Q19" i="148"/>
  <c r="P19" i="148"/>
  <c r="Q59" i="148"/>
  <c r="P59" i="148"/>
  <c r="Q39" i="148"/>
  <c r="P39" i="148"/>
  <c r="Q30" i="146"/>
  <c r="P30" i="146"/>
  <c r="Q14" i="146"/>
  <c r="P14" i="146"/>
  <c r="Q23" i="146"/>
  <c r="P23" i="146"/>
  <c r="Q69" i="146"/>
  <c r="R62" i="146" s="1"/>
  <c r="M14" i="145"/>
  <c r="M15" i="145" s="1"/>
  <c r="P69" i="146"/>
  <c r="Q42" i="146"/>
  <c r="G6" i="145"/>
  <c r="P60" i="146"/>
  <c r="P18" i="146"/>
  <c r="N37" i="146"/>
  <c r="P20" i="146"/>
  <c r="P27" i="146"/>
  <c r="N48" i="146"/>
  <c r="F6" i="145"/>
  <c r="G14" i="145"/>
  <c r="G15" i="145" s="1"/>
  <c r="N7" i="146"/>
  <c r="D14" i="145" s="1"/>
  <c r="P55" i="146"/>
  <c r="P11" i="146"/>
  <c r="AF20" i="146"/>
  <c r="AG13" i="146" s="1"/>
  <c r="M44" i="146"/>
  <c r="AE48" i="146"/>
  <c r="N51" i="146"/>
  <c r="P16" i="146"/>
  <c r="P39" i="146"/>
  <c r="P46" i="146"/>
  <c r="P67" i="146"/>
  <c r="F14" i="145"/>
  <c r="F15" i="145" s="1"/>
  <c r="AF7" i="146"/>
  <c r="AG5" i="146" s="1"/>
  <c r="AF6" i="146"/>
  <c r="AE6" i="146"/>
  <c r="Q8" i="146"/>
  <c r="P8" i="146"/>
  <c r="AF11" i="146"/>
  <c r="AE11" i="146"/>
  <c r="E14" i="145"/>
  <c r="E15" i="145" s="1"/>
  <c r="Q12" i="146"/>
  <c r="R8" i="146" s="1"/>
  <c r="P12" i="146"/>
  <c r="AF13" i="146"/>
  <c r="AE13" i="146"/>
  <c r="Q13" i="146"/>
  <c r="P13" i="146"/>
  <c r="N15" i="146"/>
  <c r="AE15" i="146"/>
  <c r="AF16" i="146"/>
  <c r="AE16" i="146"/>
  <c r="Q17" i="146"/>
  <c r="P17" i="146"/>
  <c r="AF18" i="146"/>
  <c r="AE18" i="146"/>
  <c r="AE19" i="146"/>
  <c r="N19" i="146"/>
  <c r="N22" i="146"/>
  <c r="AF22" i="146"/>
  <c r="AE22" i="146"/>
  <c r="N24" i="146"/>
  <c r="AE24" i="146"/>
  <c r="AF25" i="146"/>
  <c r="AE25" i="146"/>
  <c r="Q26" i="146"/>
  <c r="P26" i="146"/>
  <c r="AF27" i="146"/>
  <c r="AG21" i="146" s="1"/>
  <c r="AE27" i="146"/>
  <c r="N29" i="146"/>
  <c r="AF29" i="146"/>
  <c r="AE29" i="146"/>
  <c r="N31" i="146"/>
  <c r="AE31" i="146"/>
  <c r="AF32" i="146"/>
  <c r="AE32" i="146"/>
  <c r="AE33" i="146"/>
  <c r="N33" i="146"/>
  <c r="Q34" i="146"/>
  <c r="P34" i="146"/>
  <c r="AF36" i="146"/>
  <c r="AG28" i="146" s="1"/>
  <c r="AE36" i="146"/>
  <c r="P36" i="146"/>
  <c r="Q36" i="146"/>
  <c r="R28" i="146" s="1"/>
  <c r="K14" i="145"/>
  <c r="Q38" i="146"/>
  <c r="P38" i="146"/>
  <c r="AF39" i="146"/>
  <c r="AE39" i="146"/>
  <c r="AE40" i="146"/>
  <c r="N40" i="146"/>
  <c r="AF41" i="146"/>
  <c r="AE41" i="146"/>
  <c r="Q41" i="146"/>
  <c r="P41" i="146"/>
  <c r="N43" i="146"/>
  <c r="AF43" i="146"/>
  <c r="AE43" i="146"/>
  <c r="Q45" i="146"/>
  <c r="P45" i="146"/>
  <c r="AF46" i="146"/>
  <c r="AE46" i="146"/>
  <c r="AE47" i="146"/>
  <c r="N47" i="146"/>
  <c r="N50" i="146"/>
  <c r="AF50" i="146"/>
  <c r="AE50" i="146"/>
  <c r="N52" i="146"/>
  <c r="AE52" i="146"/>
  <c r="AF53" i="146"/>
  <c r="AE53" i="146"/>
  <c r="Q54" i="146"/>
  <c r="P54" i="146"/>
  <c r="AF55" i="146"/>
  <c r="AE55" i="146"/>
  <c r="AE56" i="146"/>
  <c r="N56" i="146"/>
  <c r="N61" i="146"/>
  <c r="AE61" i="146"/>
  <c r="Q57" i="146"/>
  <c r="P57" i="146"/>
  <c r="N59" i="146"/>
  <c r="AF59" i="146"/>
  <c r="AE59" i="146"/>
  <c r="AF62" i="146"/>
  <c r="AE62" i="146"/>
  <c r="P64" i="146"/>
  <c r="Q64" i="146"/>
  <c r="N66" i="146"/>
  <c r="AE66" i="146"/>
  <c r="AF67" i="146"/>
  <c r="AE67" i="146"/>
  <c r="Q68" i="146"/>
  <c r="P68" i="146"/>
  <c r="AF69" i="146"/>
  <c r="AG62" i="146" s="1"/>
  <c r="AE69" i="146"/>
  <c r="F8" i="151" l="1"/>
  <c r="G8" i="151"/>
  <c r="E8" i="151"/>
  <c r="D15" i="149"/>
  <c r="G7" i="149"/>
  <c r="F7" i="149"/>
  <c r="E7" i="149"/>
  <c r="K15" i="149"/>
  <c r="I8" i="149" s="1"/>
  <c r="I7" i="149"/>
  <c r="Q20" i="148"/>
  <c r="R13" i="148" s="1"/>
  <c r="P20" i="148"/>
  <c r="F14" i="147"/>
  <c r="F15" i="147" s="1"/>
  <c r="Q43" i="148"/>
  <c r="R36" i="148" s="1"/>
  <c r="P43" i="148"/>
  <c r="L14" i="147"/>
  <c r="L15" i="147" s="1"/>
  <c r="Q60" i="148"/>
  <c r="R56" i="148" s="1"/>
  <c r="P60" i="148"/>
  <c r="J14" i="147"/>
  <c r="J15" i="147" s="1"/>
  <c r="D2" i="148"/>
  <c r="Q7" i="148"/>
  <c r="R5" i="148" s="1"/>
  <c r="P7" i="148"/>
  <c r="D14" i="147"/>
  <c r="Q47" i="148"/>
  <c r="R44" i="148" s="1"/>
  <c r="P47" i="148"/>
  <c r="H14" i="147"/>
  <c r="H15" i="147" s="1"/>
  <c r="Q12" i="148"/>
  <c r="R8" i="148" s="1"/>
  <c r="P12" i="148"/>
  <c r="E14" i="147"/>
  <c r="E15" i="147" s="1"/>
  <c r="Q66" i="148"/>
  <c r="R61" i="148" s="1"/>
  <c r="P66" i="148"/>
  <c r="M14" i="147"/>
  <c r="M15" i="147" s="1"/>
  <c r="Q27" i="148"/>
  <c r="R21" i="148" s="1"/>
  <c r="P27" i="148"/>
  <c r="G14" i="147"/>
  <c r="G15" i="147" s="1"/>
  <c r="I14" i="147"/>
  <c r="I15" i="147" s="1"/>
  <c r="Q55" i="148"/>
  <c r="R48" i="148" s="1"/>
  <c r="P55" i="148"/>
  <c r="Q35" i="148"/>
  <c r="R28" i="148" s="1"/>
  <c r="P35" i="148"/>
  <c r="K14" i="147"/>
  <c r="D15" i="145"/>
  <c r="P7" i="146"/>
  <c r="Q48" i="146"/>
  <c r="R45" i="146" s="1"/>
  <c r="H14" i="145"/>
  <c r="H15" i="145" s="1"/>
  <c r="P48" i="146"/>
  <c r="P33" i="146"/>
  <c r="Q33" i="146"/>
  <c r="P43" i="146"/>
  <c r="Q43" i="146"/>
  <c r="Q15" i="146"/>
  <c r="P15" i="146"/>
  <c r="Q31" i="146"/>
  <c r="P31" i="146"/>
  <c r="AF44" i="146"/>
  <c r="AG37" i="146" s="1"/>
  <c r="N44" i="146"/>
  <c r="AE44" i="146"/>
  <c r="J14" i="145"/>
  <c r="J15" i="145" s="1"/>
  <c r="Q61" i="146"/>
  <c r="R57" i="146" s="1"/>
  <c r="P61" i="146"/>
  <c r="P19" i="146"/>
  <c r="Q19" i="146"/>
  <c r="P37" i="146"/>
  <c r="Q37" i="146"/>
  <c r="P40" i="146"/>
  <c r="Q40" i="146"/>
  <c r="P29" i="146"/>
  <c r="Q29" i="146"/>
  <c r="P66" i="146"/>
  <c r="Q66" i="146"/>
  <c r="Q52" i="146"/>
  <c r="P52" i="146"/>
  <c r="Q24" i="146"/>
  <c r="P24" i="146"/>
  <c r="Q7" i="146"/>
  <c r="R5" i="146" s="1"/>
  <c r="P50" i="146"/>
  <c r="Q50" i="146"/>
  <c r="P47" i="146"/>
  <c r="Q47" i="146"/>
  <c r="P51" i="146"/>
  <c r="Q51" i="146"/>
  <c r="K15" i="145"/>
  <c r="P59" i="146"/>
  <c r="Q59" i="146"/>
  <c r="P22" i="146"/>
  <c r="Q22" i="146"/>
  <c r="Q56" i="146"/>
  <c r="R49" i="146" s="1"/>
  <c r="P56" i="146"/>
  <c r="I14" i="145"/>
  <c r="I15" i="145" s="1"/>
  <c r="F8" i="149" l="1"/>
  <c r="E8" i="149"/>
  <c r="G8" i="149"/>
  <c r="K15" i="147"/>
  <c r="I8" i="147" s="1"/>
  <c r="I7" i="147"/>
  <c r="D15" i="147"/>
  <c r="G7" i="147"/>
  <c r="F7" i="147"/>
  <c r="E7" i="147"/>
  <c r="P44" i="146"/>
  <c r="L14" i="145"/>
  <c r="Q44" i="146"/>
  <c r="R37" i="146" s="1"/>
  <c r="G8" i="145"/>
  <c r="F8" i="145"/>
  <c r="F7" i="145"/>
  <c r="D2" i="146"/>
  <c r="G7" i="145"/>
  <c r="G8" i="147" l="1"/>
  <c r="F8" i="147"/>
  <c r="E8" i="147"/>
  <c r="L15" i="145"/>
  <c r="I7" i="145"/>
  <c r="E7" i="145"/>
  <c r="I8" i="145" l="1"/>
  <c r="E8" i="145"/>
</calcChain>
</file>

<file path=xl/sharedStrings.xml><?xml version="1.0" encoding="utf-8"?>
<sst xmlns="http://schemas.openxmlformats.org/spreadsheetml/2006/main" count="11324" uniqueCount="2752">
  <si>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</si>
  <si>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</si>
  <si>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</si>
  <si>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</si>
  <si>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</si>
  <si>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微波主食</t>
  </si>
  <si>
    <t>二配港式香滑嫩蛋牛肉燴飯</t>
  </si>
  <si>
    <t>二配泰式綠咖哩雞</t>
  </si>
  <si>
    <t>沙拉</t>
  </si>
  <si>
    <t>青醬優格雞肉握沙拉(113年)</t>
  </si>
  <si>
    <t>青檸烤雞握沙拉(113年)</t>
  </si>
  <si>
    <t>小吃</t>
  </si>
  <si>
    <t>剝皮辣椒雞湯</t>
  </si>
  <si>
    <t>二配起司控培根白醬焗烤飯</t>
  </si>
  <si>
    <t>二配金咖哩果香甘口咖哩飯</t>
  </si>
  <si>
    <t>爆炒雞丁飯</t>
  </si>
  <si>
    <t>韓式泡菜豬肉豆腐丼飯</t>
  </si>
  <si>
    <t>鐵板滑蛋炸豬排丼</t>
  </si>
  <si>
    <t>二配川味麻婆燒豆腐燴飯</t>
  </si>
  <si>
    <t>二配金咖哩濃厚辛口咖哩飯</t>
  </si>
  <si>
    <t>三明治</t>
  </si>
  <si>
    <t>紐奧良風味烤雞鮮蔬三明治</t>
  </si>
  <si>
    <t>醬燒烤雞三明治(115年)</t>
  </si>
  <si>
    <t>雞蛋沙拉三明治(114年)</t>
  </si>
  <si>
    <t>肉鬆火腿三明治(115年)</t>
  </si>
  <si>
    <t>經典火腿玉米蛋三明治</t>
  </si>
  <si>
    <t>好多蛋三明治</t>
  </si>
  <si>
    <t>調理麵包</t>
  </si>
  <si>
    <t>經典雙牛起司堡(113年)</t>
  </si>
  <si>
    <t>豬肉起司堡</t>
  </si>
  <si>
    <t>豬肉起司蛋堡</t>
  </si>
  <si>
    <t>壹號醬雞豚雙拼</t>
  </si>
  <si>
    <t>二配香辣醬蒜味香腸蛋炒飯</t>
  </si>
  <si>
    <t>厚豆腐蛋白蕈菇豬肉堡</t>
  </si>
  <si>
    <t>香雞蛋堡(112年)</t>
  </si>
  <si>
    <t>美式雞腿堡</t>
  </si>
  <si>
    <t>黃金魚堡(114年)</t>
  </si>
  <si>
    <t>藍莓優格三明治</t>
  </si>
  <si>
    <t>香蕉可可三明治</t>
  </si>
  <si>
    <t>火腿起司蛋三明治</t>
  </si>
  <si>
    <t/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</si>
  <si>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</si>
  <si>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</si>
  <si>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</si>
  <si>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</si>
  <si>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</si>
  <si>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</si>
  <si>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</si>
  <si>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</si>
  <si>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</si>
  <si>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</si>
  <si>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</si>
  <si>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</si>
  <si>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</si>
  <si>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</si>
  <si>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</si>
  <si>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</si>
  <si>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鮪魚起司溏心蛋三明治(115年)</t>
  </si>
  <si>
    <t>經典總匯三明治(115年)</t>
  </si>
  <si>
    <t>茄汁厚起司三明治</t>
  </si>
  <si>
    <t>日式炙烤親子丼</t>
  </si>
  <si>
    <t>蔥鹽雞肉麵沙拉(114年)</t>
  </si>
  <si>
    <t>二配打拋風味豬肉飯</t>
  </si>
  <si>
    <t>厚蛋時蔬握沙拉</t>
  </si>
  <si>
    <t>榛果摩卡脆脆三明治</t>
  </si>
  <si>
    <t>二配厚香料優格咖哩雞排飯</t>
  </si>
  <si>
    <t>香菇雞粥</t>
  </si>
  <si>
    <t>香菇雞燉湯</t>
  </si>
  <si>
    <t>次數</t>
    <phoneticPr fontId="13" type="noConversion"/>
  </si>
  <si>
    <t>短暫停線
(5分鐘以下)</t>
    <phoneticPr fontId="13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</si>
  <si>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</si>
  <si>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</si>
  <si>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</si>
  <si>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</si>
  <si>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地瓜瓜握沙拉</t>
  </si>
  <si>
    <t>新豐3線</t>
    <phoneticPr fontId="4" type="noConversion"/>
  </si>
  <si>
    <t>星期三</t>
  </si>
  <si>
    <t>二配藤椒雞丁炒飯</t>
  </si>
  <si>
    <t>人數</t>
    <phoneticPr fontId="4" type="noConversion"/>
  </si>
  <si>
    <t>莎莎烤雞麵沙拉(115年)</t>
  </si>
  <si>
    <t>起司芋見肉鬆三明治</t>
  </si>
  <si>
    <t>炙烤醬香燒豚飯</t>
  </si>
  <si>
    <t>新豐4線</t>
    <phoneticPr fontId="4" type="noConversion"/>
  </si>
  <si>
    <t>五彩鮮蔬三明治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</si>
  <si>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</si>
  <si>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</si>
  <si>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</si>
  <si>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</si>
  <si>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</si>
  <si>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</si>
  <si>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</si>
  <si>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</si>
  <si>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</si>
  <si>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</si>
  <si>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</si>
  <si>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</si>
  <si>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</si>
  <si>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</si>
  <si>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</si>
  <si>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</si>
  <si>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</si>
  <si>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</si>
  <si>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</si>
  <si>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</si>
  <si>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</si>
  <si>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</si>
  <si>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</si>
  <si>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</si>
  <si>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</si>
  <si>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</si>
  <si>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</si>
  <si>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</si>
  <si>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</si>
  <si>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</si>
  <si>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</si>
  <si>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</si>
  <si>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</si>
  <si>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</si>
  <si>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</si>
  <si>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</si>
  <si>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</si>
  <si>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</si>
  <si>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</si>
  <si>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</si>
  <si>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</si>
  <si>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</si>
  <si>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</si>
  <si>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</si>
  <si>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</si>
  <si>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</si>
  <si>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</si>
  <si>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</si>
  <si>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</si>
  <si>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</si>
  <si>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</si>
  <si>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</si>
  <si>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</si>
  <si>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</si>
  <si>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</si>
  <si>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</si>
  <si>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</si>
  <si>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</si>
  <si>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</si>
  <si>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</si>
  <si>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</si>
  <si>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</si>
  <si>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</si>
  <si>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</si>
  <si>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</si>
  <si>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</si>
  <si>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</si>
  <si>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</si>
  <si>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</si>
  <si>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</si>
  <si>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</si>
  <si>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</si>
  <si>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</si>
  <si>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</si>
  <si>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</si>
  <si>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</si>
  <si>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</si>
  <si>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</si>
  <si>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</si>
  <si>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</si>
  <si>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</si>
  <si>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</si>
  <si>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</si>
  <si>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</si>
  <si>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</si>
  <si>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</si>
  <si>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</si>
  <si>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</si>
  <si>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</si>
  <si>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</si>
  <si>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</si>
  <si>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</si>
  <si>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</si>
  <si>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</si>
  <si>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</si>
  <si>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</si>
  <si>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</si>
  <si>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</si>
  <si>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</si>
  <si>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</si>
  <si>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</si>
  <si>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</si>
  <si>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</si>
  <si>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</si>
  <si>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</si>
  <si>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</si>
  <si>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</si>
  <si>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</si>
  <si>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</si>
  <si>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</si>
  <si>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</si>
  <si>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</si>
  <si>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</si>
  <si>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</si>
  <si>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</si>
  <si>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</si>
  <si>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</si>
  <si>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</si>
  <si>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</si>
  <si>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</si>
  <si>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</si>
  <si>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</si>
  <si>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</si>
  <si>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</si>
  <si>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</si>
  <si>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</si>
  <si>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</si>
  <si>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</si>
  <si>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</si>
  <si>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</si>
  <si>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</si>
  <si>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</si>
  <si>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</si>
  <si>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</si>
  <si>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</si>
  <si>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</si>
  <si>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</si>
  <si>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</si>
  <si>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</si>
  <si>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</si>
  <si>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</si>
  <si>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</si>
  <si>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</si>
  <si>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</si>
  <si>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</si>
  <si>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</si>
  <si>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</si>
  <si>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</si>
  <si>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</si>
  <si>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</si>
  <si>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</si>
  <si>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</si>
  <si>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</si>
  <si>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</si>
  <si>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</si>
  <si>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</si>
  <si>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</si>
  <si>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</si>
  <si>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</si>
  <si>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</si>
  <si>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</si>
  <si>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</si>
  <si>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</si>
  <si>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</si>
  <si>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</si>
  <si>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</si>
  <si>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</si>
  <si>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</si>
  <si>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</si>
  <si>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</si>
  <si>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</si>
  <si>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</si>
  <si>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</si>
  <si>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</si>
  <si>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</si>
  <si>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</si>
  <si>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</si>
  <si>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</si>
  <si>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</si>
  <si>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</si>
  <si>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</si>
  <si>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</si>
  <si>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</si>
  <si>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</si>
  <si>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</si>
  <si>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</si>
  <si>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</si>
  <si>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</si>
  <si>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</si>
  <si>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</si>
  <si>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</si>
  <si>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</si>
  <si>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</si>
  <si>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</si>
  <si>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</si>
  <si>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</si>
  <si>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</si>
  <si>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</si>
  <si>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</si>
  <si>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</si>
  <si>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</si>
  <si>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</si>
  <si>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</si>
  <si>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</si>
  <si>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</si>
  <si>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</si>
  <si>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</si>
  <si>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</si>
  <si>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</si>
  <si>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</si>
  <si>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</si>
  <si>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</si>
  <si>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</si>
  <si>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</si>
  <si>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</si>
  <si>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</si>
  <si>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</si>
  <si>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</si>
  <si>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</si>
  <si>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</si>
  <si>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</si>
  <si>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</si>
  <si>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</si>
  <si>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</si>
  <si>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</si>
  <si>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</si>
  <si>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</si>
  <si>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</si>
  <si>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</si>
  <si>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</si>
  <si>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</si>
  <si>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</si>
  <si>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</si>
  <si>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</si>
  <si>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</si>
  <si>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</si>
  <si>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</si>
  <si>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</si>
  <si>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</si>
  <si>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</si>
  <si>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</si>
  <si>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</si>
  <si>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</si>
  <si>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</si>
  <si>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</si>
  <si>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</si>
  <si>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</si>
  <si>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</si>
  <si>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</si>
  <si>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</si>
  <si>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</si>
  <si>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</si>
  <si>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</si>
  <si>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</si>
  <si>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</si>
  <si>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</si>
  <si>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</si>
  <si>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</si>
  <si>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</si>
  <si>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</si>
  <si>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</si>
  <si>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</si>
  <si>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</si>
  <si>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</si>
  <si>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</si>
  <si>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</si>
  <si>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</si>
  <si>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</si>
  <si>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</si>
  <si>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</si>
  <si>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</si>
  <si>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</si>
  <si>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</si>
  <si>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</si>
  <si>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</si>
  <si>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</si>
  <si>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</si>
  <si>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</si>
  <si>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</si>
  <si>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</si>
  <si>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</si>
  <si>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</si>
  <si>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</si>
  <si>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</si>
  <si>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</si>
  <si>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</si>
  <si>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</si>
  <si>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</si>
  <si>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</si>
  <si>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</si>
  <si>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</si>
  <si>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</si>
  <si>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</si>
  <si>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</si>
  <si>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</si>
  <si>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</si>
  <si>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</si>
  <si>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</si>
  <si>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</si>
  <si>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</si>
  <si>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</si>
  <si>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</si>
  <si>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</si>
  <si>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</si>
  <si>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</si>
  <si>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</si>
  <si>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</si>
  <si>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</si>
  <si>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</si>
  <si>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</si>
  <si>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</si>
  <si>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</si>
  <si>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</si>
  <si>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</si>
  <si>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</si>
  <si>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</si>
  <si>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</si>
  <si>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</si>
  <si>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</si>
  <si>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</si>
  <si>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</si>
  <si>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</si>
  <si>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</si>
  <si>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</si>
  <si>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</si>
  <si>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</si>
  <si>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</si>
  <si>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</si>
  <si>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</si>
  <si>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</si>
  <si>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</si>
  <si>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</si>
  <si>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</si>
  <si>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</si>
  <si>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</si>
  <si>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</si>
  <si>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</si>
  <si>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</si>
  <si>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</si>
  <si>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</si>
  <si>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</si>
  <si>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</si>
  <si>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</si>
  <si>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</si>
  <si>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</si>
  <si>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</si>
  <si>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</si>
  <si>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</si>
  <si>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</si>
  <si>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</si>
  <si>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</si>
  <si>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</si>
  <si>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</si>
  <si>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</si>
  <si>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</si>
  <si>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</si>
  <si>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</si>
  <si>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</si>
  <si>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</si>
  <si>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</si>
  <si>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</si>
  <si>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</si>
  <si>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</si>
  <si>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</si>
  <si>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</si>
  <si>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</si>
  <si>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</si>
  <si>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</si>
  <si>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</si>
  <si>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</si>
  <si>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</si>
  <si>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</si>
  <si>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</si>
  <si>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</si>
  <si>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</si>
  <si>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</si>
  <si>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</si>
  <si>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</si>
  <si>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</si>
  <si>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</si>
  <si>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</si>
  <si>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</si>
  <si>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</si>
  <si>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</si>
  <si>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</si>
  <si>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</si>
  <si>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</si>
  <si>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星期日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</si>
  <si>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</si>
  <si>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</si>
  <si>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</si>
  <si>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</si>
  <si>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</si>
  <si>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</si>
  <si>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</si>
  <si>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</si>
  <si>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</si>
  <si>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</si>
  <si>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</si>
  <si>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</si>
  <si>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</si>
  <si>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</si>
  <si>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</si>
  <si>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</si>
  <si>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</si>
  <si>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</si>
  <si>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</si>
  <si>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</si>
  <si>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</si>
  <si>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</si>
  <si>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</si>
  <si>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</si>
  <si>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</si>
  <si>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</si>
  <si>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</si>
  <si>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</si>
  <si>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</si>
  <si>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</si>
  <si>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</si>
  <si>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</si>
  <si>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</si>
  <si>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</si>
  <si>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</si>
  <si>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</si>
  <si>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</si>
  <si>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</si>
  <si>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</si>
  <si>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</si>
  <si>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</si>
  <si>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</si>
  <si>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</si>
  <si>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</si>
  <si>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</si>
  <si>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</si>
  <si>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</si>
  <si>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</si>
  <si>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</si>
  <si>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</si>
  <si>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</si>
  <si>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</si>
  <si>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</si>
  <si>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</si>
  <si>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</si>
  <si>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</si>
  <si>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</si>
  <si>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</si>
  <si>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</si>
  <si>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</si>
  <si>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</si>
  <si>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</si>
  <si>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</si>
  <si>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</si>
  <si>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</si>
  <si>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</si>
  <si>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</si>
  <si>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</si>
  <si>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</si>
  <si>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</si>
  <si>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</si>
  <si>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</si>
  <si>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</si>
  <si>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</si>
  <si>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</si>
  <si>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</si>
  <si>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</si>
  <si>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</si>
  <si>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</si>
  <si>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</si>
  <si>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</si>
  <si>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</si>
  <si>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</si>
  <si>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</si>
  <si>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</si>
  <si>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</si>
  <si>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</si>
  <si>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</si>
  <si>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</si>
  <si>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</si>
  <si>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</si>
  <si>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</si>
  <si>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</si>
  <si>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</si>
  <si>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</si>
  <si>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</si>
  <si>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</si>
  <si>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</si>
  <si>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</si>
  <si>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</si>
  <si>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異常停線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</si>
  <si>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</si>
  <si>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</si>
  <si>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</si>
  <si>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</si>
  <si>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</si>
  <si>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</si>
  <si>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</si>
  <si>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</si>
  <si>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</si>
  <si>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編組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</si>
  <si>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</si>
  <si>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</si>
  <si>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</si>
  <si>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</si>
  <si>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</si>
  <si>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</si>
  <si>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</si>
  <si>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</si>
  <si>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</si>
  <si>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</si>
  <si>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炒飯+沙拉</t>
    <phoneticPr fontId="4" type="noConversion"/>
  </si>
  <si>
    <t>調理麵包</t>
    <phoneticPr fontId="4" type="noConversion"/>
  </si>
  <si>
    <t>營業額</t>
    <phoneticPr fontId="7" type="noConversion"/>
  </si>
  <si>
    <t>日報登錄</t>
    <phoneticPr fontId="4" type="noConversion"/>
  </si>
  <si>
    <t>合計
時間/分</t>
    <phoneticPr fontId="3" type="noConversion"/>
  </si>
  <si>
    <t>星期一</t>
  </si>
  <si>
    <t>線別</t>
    <phoneticPr fontId="3" type="noConversion"/>
  </si>
  <si>
    <t>品名</t>
    <phoneticPr fontId="3" type="noConversion"/>
  </si>
  <si>
    <t>人數</t>
    <phoneticPr fontId="4" type="noConversion"/>
  </si>
  <si>
    <t>稼動時間/分</t>
    <phoneticPr fontId="4" type="noConversion"/>
  </si>
  <si>
    <t>產線異常統計
(5分鐘以上)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</si>
  <si>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</si>
  <si>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</si>
  <si>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</si>
  <si>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</si>
  <si>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</si>
  <si>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</si>
  <si>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</si>
  <si>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</si>
  <si>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</si>
  <si>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</si>
  <si>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</si>
  <si>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二配玉米濃湯焗烤飯</t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</si>
  <si>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</si>
  <si>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</si>
  <si>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</si>
  <si>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</si>
  <si>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</si>
  <si>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</si>
  <si>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c</t>
    <phoneticPr fontId="3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</si>
  <si>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</si>
  <si>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</si>
  <si>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</si>
  <si>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</si>
  <si>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</si>
  <si>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</si>
  <si>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</si>
  <si>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</si>
  <si>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</si>
  <si>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</si>
  <si>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</si>
  <si>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</si>
  <si>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</si>
  <si>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</si>
  <si>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</si>
  <si>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</si>
  <si>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</si>
  <si>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</si>
  <si>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</si>
  <si>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</si>
  <si>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</si>
  <si>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</si>
  <si>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</si>
  <si>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</si>
  <si>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</si>
  <si>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</si>
  <si>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</si>
  <si>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</si>
  <si>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</si>
  <si>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</si>
  <si>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</si>
  <si>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</si>
  <si>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</si>
  <si>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</si>
  <si>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</si>
  <si>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</si>
  <si>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</si>
  <si>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</si>
  <si>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</si>
  <si>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</si>
  <si>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</si>
  <si>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</si>
  <si>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</si>
  <si>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</si>
  <si>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</si>
  <si>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</si>
  <si>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</si>
  <si>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</si>
  <si>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</si>
  <si>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</si>
  <si>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</si>
  <si>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</si>
  <si>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</si>
  <si>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</si>
  <si>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</si>
  <si>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</si>
  <si>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</si>
  <si>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</si>
  <si>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</si>
  <si>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</si>
  <si>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</si>
  <si>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</si>
  <si>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</si>
  <si>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</si>
  <si>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</si>
  <si>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</si>
  <si>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</si>
  <si>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</si>
  <si>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</si>
  <si>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</si>
  <si>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</si>
  <si>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</si>
  <si>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</si>
  <si>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</si>
  <si>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</si>
  <si>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</si>
  <si>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</si>
  <si>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</si>
  <si>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</si>
  <si>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</si>
  <si>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</si>
  <si>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</si>
  <si>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</si>
  <si>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</si>
  <si>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</si>
  <si>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</si>
  <si>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</si>
  <si>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</si>
  <si>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</si>
  <si>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</si>
  <si>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</si>
  <si>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</si>
  <si>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</si>
  <si>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</si>
  <si>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</si>
  <si>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</si>
  <si>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</si>
  <si>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</si>
  <si>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</si>
  <si>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</si>
  <si>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</si>
  <si>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</si>
  <si>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</si>
  <si>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</si>
  <si>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</si>
  <si>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</si>
  <si>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</si>
  <si>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</si>
  <si>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</si>
  <si>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</si>
  <si>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</si>
  <si>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</si>
  <si>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</si>
  <si>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</si>
  <si>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元氣起司鱈魚堡</t>
  </si>
  <si>
    <t>新豐4線</t>
    <phoneticPr fontId="4" type="noConversion"/>
  </si>
  <si>
    <t>水果聖代三明治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</si>
  <si>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</si>
  <si>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</si>
  <si>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</si>
  <si>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</si>
  <si>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</si>
  <si>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</si>
  <si>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</si>
  <si>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</si>
  <si>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</si>
  <si>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</si>
  <si>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</si>
  <si>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</si>
  <si>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</si>
  <si>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</si>
  <si>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</si>
  <si>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</si>
  <si>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</si>
  <si>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</si>
  <si>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</si>
  <si>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</si>
  <si>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</si>
  <si>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</si>
  <si>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</si>
  <si>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</si>
  <si>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</si>
  <si>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</si>
  <si>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</si>
  <si>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</si>
  <si>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</si>
  <si>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</si>
  <si>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</si>
  <si>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</si>
  <si>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</si>
  <si>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</si>
  <si>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</si>
  <si>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</si>
  <si>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</si>
  <si>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</si>
  <si>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</si>
  <si>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</si>
  <si>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</si>
  <si>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</si>
  <si>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</si>
  <si>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</si>
  <si>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</si>
  <si>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</si>
  <si>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</si>
  <si>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</si>
  <si>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</si>
  <si>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</si>
  <si>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</si>
  <si>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合計
次數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</si>
  <si>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</si>
  <si>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</si>
  <si>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</si>
  <si>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</si>
  <si>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</si>
  <si>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</si>
  <si>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</si>
  <si>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</si>
  <si>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</si>
  <si>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</si>
  <si>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</si>
  <si>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</si>
  <si>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</si>
  <si>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</si>
  <si>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</si>
  <si>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</si>
  <si>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</si>
  <si>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</si>
  <si>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</si>
  <si>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</si>
  <si>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</si>
  <si>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</si>
  <si>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</si>
  <si>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</si>
  <si>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</si>
  <si>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</si>
  <si>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</si>
  <si>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</si>
  <si>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</si>
  <si>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</si>
  <si>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</si>
  <si>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</si>
  <si>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</si>
  <si>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</si>
  <si>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</si>
  <si>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</si>
  <si>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</si>
  <si>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</si>
  <si>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</si>
  <si>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</si>
  <si>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</si>
  <si>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</si>
  <si>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</si>
  <si>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</si>
  <si>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</si>
  <si>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</si>
  <si>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</si>
  <si>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</si>
  <si>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</si>
  <si>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</si>
  <si>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</si>
  <si>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</si>
  <si>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</si>
  <si>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</si>
  <si>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</si>
  <si>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</si>
  <si>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</si>
  <si>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</si>
  <si>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</si>
  <si>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</si>
  <si>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</si>
  <si>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</si>
  <si>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</si>
  <si>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</si>
  <si>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</si>
  <si>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</si>
  <si>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</si>
  <si>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</si>
  <si>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</si>
  <si>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</si>
  <si>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</si>
  <si>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</si>
  <si>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</si>
  <si>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</si>
  <si>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</si>
  <si>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</si>
  <si>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</si>
  <si>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</si>
  <si>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</si>
  <si>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</si>
  <si>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</si>
  <si>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</si>
  <si>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</si>
  <si>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</si>
  <si>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</si>
  <si>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</si>
  <si>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</si>
  <si>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</si>
  <si>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</si>
  <si>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</si>
  <si>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</si>
  <si>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</si>
  <si>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</si>
  <si>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</si>
  <si>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</si>
  <si>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</si>
  <si>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</si>
  <si>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</si>
  <si>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</si>
  <si>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</si>
  <si>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</si>
  <si>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</si>
  <si>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</si>
  <si>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</si>
  <si>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</si>
  <si>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</si>
  <si>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</si>
  <si>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</si>
  <si>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</si>
  <si>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</si>
  <si>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</si>
  <si>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</si>
  <si>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</si>
  <si>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</si>
  <si>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</si>
  <si>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</si>
  <si>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</si>
  <si>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</si>
  <si>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</si>
  <si>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</si>
  <si>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</si>
  <si>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</si>
  <si>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</si>
  <si>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</si>
  <si>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</si>
  <si>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</si>
  <si>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</si>
  <si>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</si>
  <si>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</si>
  <si>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</si>
  <si>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</si>
  <si>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</si>
  <si>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</si>
  <si>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</si>
  <si>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</si>
  <si>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</si>
  <si>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</si>
  <si>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</si>
  <si>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</si>
  <si>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</si>
  <si>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</si>
  <si>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</si>
  <si>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</si>
  <si>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</si>
  <si>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</si>
  <si>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</si>
  <si>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</si>
  <si>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</si>
  <si>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</si>
  <si>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</si>
  <si>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</si>
  <si>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</si>
  <si>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</si>
  <si>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</si>
  <si>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</si>
  <si>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</si>
  <si>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</si>
  <si>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</si>
  <si>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</si>
  <si>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</si>
  <si>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</si>
  <si>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</si>
  <si>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</si>
  <si>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</si>
  <si>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</si>
  <si>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</si>
  <si>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</si>
  <si>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</si>
  <si>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</si>
  <si>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</si>
  <si>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</si>
  <si>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</si>
  <si>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</si>
  <si>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</si>
  <si>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</si>
  <si>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</si>
  <si>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</si>
  <si>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</si>
  <si>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</si>
  <si>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</si>
  <si>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</si>
  <si>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</si>
  <si>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</si>
  <si>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</si>
  <si>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</si>
  <si>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</si>
  <si>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</si>
  <si>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</si>
  <si>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</si>
  <si>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</si>
  <si>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</si>
  <si>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</si>
  <si>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</si>
  <si>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</si>
  <si>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</si>
  <si>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</si>
  <si>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</si>
  <si>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</si>
  <si>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</si>
  <si>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</si>
  <si>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</si>
  <si>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</si>
  <si>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</si>
  <si>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</si>
  <si>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</si>
  <si>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</si>
  <si>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</si>
  <si>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</si>
  <si>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</si>
  <si>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</si>
  <si>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</si>
  <si>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</si>
  <si>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</si>
  <si>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</si>
  <si>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</si>
  <si>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</si>
  <si>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</si>
  <si>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</si>
  <si>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</si>
  <si>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</si>
  <si>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</si>
  <si>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</si>
  <si>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</si>
  <si>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</si>
  <si>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</si>
  <si>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</si>
  <si>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</si>
  <si>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</si>
  <si>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</si>
  <si>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</si>
  <si>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</si>
  <si>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</si>
  <si>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</si>
  <si>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</si>
  <si>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</si>
  <si>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</si>
  <si>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</si>
  <si>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</si>
  <si>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</si>
  <si>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</si>
  <si>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</si>
  <si>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</si>
  <si>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</si>
  <si>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台式麻醬涼麵(115年)</t>
  </si>
  <si>
    <t>鰹魚烏龍冷麵</t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</si>
  <si>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</si>
  <si>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</si>
  <si>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</si>
  <si>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</si>
  <si>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</si>
  <si>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</si>
  <si>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</si>
  <si>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</si>
  <si>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</si>
  <si>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</si>
  <si>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</si>
  <si>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</si>
  <si>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</si>
  <si>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</si>
  <si>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</si>
  <si>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</si>
  <si>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</si>
  <si>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</si>
  <si>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</si>
  <si>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</si>
  <si>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</si>
  <si>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</si>
  <si>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</si>
  <si>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</si>
  <si>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</si>
  <si>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</si>
  <si>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</si>
  <si>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</si>
  <si>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</si>
  <si>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</si>
  <si>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</si>
  <si>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</si>
  <si>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</si>
  <si>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</si>
  <si>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</si>
  <si>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</si>
  <si>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</si>
  <si>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</si>
  <si>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</si>
  <si>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</si>
  <si>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</si>
  <si>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</si>
  <si>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</si>
  <si>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</si>
  <si>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</si>
  <si>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</si>
  <si>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</si>
  <si>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</si>
  <si>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</si>
  <si>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</si>
  <si>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</si>
  <si>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</si>
  <si>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</si>
  <si>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</si>
  <si>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</si>
  <si>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</si>
  <si>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</si>
  <si>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</si>
  <si>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</si>
  <si>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</si>
  <si>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</si>
  <si>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</si>
  <si>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</si>
  <si>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</si>
  <si>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</si>
  <si>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</si>
  <si>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</si>
  <si>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</si>
  <si>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</si>
  <si>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</si>
  <si>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</si>
  <si>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</si>
  <si>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</si>
  <si>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</si>
  <si>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</si>
  <si>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</si>
  <si>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</si>
  <si>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</si>
  <si>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</si>
  <si>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</si>
  <si>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</si>
  <si>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</si>
  <si>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</si>
  <si>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</si>
  <si>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</si>
  <si>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</si>
  <si>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</si>
  <si>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</si>
  <si>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</si>
  <si>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</si>
  <si>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</si>
  <si>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</si>
  <si>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</si>
  <si>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</si>
  <si>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</si>
  <si>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</si>
  <si>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</si>
  <si>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季節調理麵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</si>
  <si>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</si>
  <si>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</si>
  <si>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</si>
  <si>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</si>
  <si>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</si>
  <si>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</si>
  <si>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</si>
  <si>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</si>
  <si>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</si>
  <si>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</si>
  <si>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</si>
  <si>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</si>
  <si>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</si>
  <si>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</si>
  <si>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</si>
  <si>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</si>
  <si>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</si>
  <si>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</si>
  <si>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</si>
  <si>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</si>
  <si>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</si>
  <si>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</si>
  <si>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</si>
  <si>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</si>
  <si>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</si>
  <si>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</si>
  <si>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</si>
  <si>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</si>
  <si>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</si>
  <si>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</si>
  <si>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</si>
  <si>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</si>
  <si>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</si>
  <si>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</si>
  <si>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</si>
  <si>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</si>
  <si>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</si>
  <si>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</si>
  <si>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</si>
  <si>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</si>
  <si>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</si>
  <si>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</si>
  <si>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</si>
  <si>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</si>
  <si>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</si>
  <si>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</si>
  <si>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</si>
  <si>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</si>
  <si>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</si>
  <si>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</si>
  <si>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</si>
  <si>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</si>
  <si>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</si>
  <si>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</si>
  <si>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</si>
  <si>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</si>
  <si>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</si>
  <si>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</si>
  <si>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</si>
  <si>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</si>
  <si>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</si>
  <si>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</si>
  <si>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</si>
  <si>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</si>
  <si>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</si>
  <si>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</si>
  <si>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</si>
  <si>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</si>
  <si>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</si>
  <si>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</si>
  <si>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</si>
  <si>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</si>
  <si>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</si>
  <si>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</si>
  <si>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</si>
  <si>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</si>
  <si>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</si>
  <si>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</si>
  <si>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</si>
  <si>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</si>
  <si>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</si>
  <si>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</si>
  <si>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</si>
  <si>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</si>
  <si>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</si>
  <si>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</si>
  <si>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</si>
  <si>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</si>
  <si>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</si>
  <si>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</si>
  <si>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季節調理麵</t>
    <phoneticPr fontId="3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</si>
  <si>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</si>
  <si>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</si>
  <si>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</si>
  <si>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</si>
  <si>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</si>
  <si>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</si>
  <si>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</si>
  <si>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</si>
  <si>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</si>
  <si>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</si>
  <si>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</si>
  <si>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</si>
  <si>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</si>
  <si>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</si>
  <si>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</si>
  <si>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</si>
  <si>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</si>
  <si>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</si>
  <si>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</si>
  <si>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</si>
  <si>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</si>
  <si>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</si>
  <si>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</si>
  <si>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</si>
  <si>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</si>
  <si>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</si>
  <si>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</si>
  <si>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</si>
  <si>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</si>
  <si>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</si>
  <si>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</si>
  <si>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</si>
  <si>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</si>
  <si>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</si>
  <si>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</si>
  <si>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</si>
  <si>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</si>
  <si>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</si>
  <si>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</si>
  <si>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</si>
  <si>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</si>
  <si>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</si>
  <si>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</si>
  <si>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</si>
  <si>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</si>
  <si>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</si>
  <si>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</si>
  <si>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</si>
  <si>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</si>
  <si>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</si>
  <si>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</si>
  <si>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</si>
  <si>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</si>
  <si>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</si>
  <si>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</si>
  <si>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</si>
  <si>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</si>
  <si>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</si>
  <si>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</si>
  <si>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</si>
  <si>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</si>
  <si>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</si>
  <si>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</si>
  <si>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</si>
  <si>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</si>
  <si>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</si>
  <si>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</si>
  <si>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</si>
  <si>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</si>
  <si>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</si>
  <si>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</si>
  <si>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</si>
  <si>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</si>
  <si>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</si>
  <si>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</si>
  <si>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</si>
  <si>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</si>
  <si>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</si>
  <si>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</si>
  <si>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</si>
  <si>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</si>
  <si>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</si>
  <si>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</si>
  <si>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</si>
  <si>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</si>
  <si>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</si>
  <si>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</si>
  <si>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</si>
  <si>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</si>
  <si>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</si>
  <si>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</si>
  <si>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</si>
  <si>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</si>
  <si>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</si>
  <si>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</si>
  <si>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</si>
  <si>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二配美味蟹煲</t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</si>
  <si>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</si>
  <si>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</si>
  <si>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</si>
  <si>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</si>
  <si>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</si>
  <si>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</si>
  <si>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</si>
  <si>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</si>
  <si>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</si>
  <si>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</si>
  <si>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</si>
  <si>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</si>
  <si>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</si>
  <si>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</si>
  <si>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</si>
  <si>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</si>
  <si>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</si>
  <si>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</si>
  <si>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</si>
  <si>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</si>
  <si>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</si>
  <si>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</si>
  <si>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</si>
  <si>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</si>
  <si>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</si>
  <si>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</si>
  <si>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</si>
  <si>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</si>
  <si>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</si>
  <si>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</si>
  <si>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</si>
  <si>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</si>
  <si>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</si>
  <si>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</si>
  <si>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</si>
  <si>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</si>
  <si>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</si>
  <si>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</si>
  <si>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</si>
  <si>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</si>
  <si>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</si>
  <si>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</si>
  <si>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</si>
  <si>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</si>
  <si>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</si>
  <si>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</si>
  <si>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</si>
  <si>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</si>
  <si>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</si>
  <si>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</si>
  <si>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</si>
  <si>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</si>
  <si>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</si>
  <si>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</si>
  <si>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</si>
  <si>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</si>
  <si>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</si>
  <si>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</si>
  <si>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</si>
  <si>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</si>
  <si>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</si>
  <si>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</si>
  <si>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</si>
  <si>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</si>
  <si>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</si>
  <si>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</si>
  <si>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</si>
  <si>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</si>
  <si>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</si>
  <si>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</si>
  <si>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</si>
  <si>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</si>
  <si>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</si>
  <si>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</si>
  <si>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</si>
  <si>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</si>
  <si>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</si>
  <si>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</si>
  <si>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</si>
  <si>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</si>
  <si>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</si>
  <si>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</si>
  <si>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</si>
  <si>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</si>
  <si>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</si>
  <si>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</si>
  <si>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</si>
  <si>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</si>
  <si>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</si>
  <si>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</si>
  <si>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</si>
  <si>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</si>
  <si>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</si>
  <si>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</si>
  <si>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</si>
  <si>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</si>
  <si>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</si>
  <si>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金黃玉米蛋三明治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</si>
  <si>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</si>
  <si>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</si>
  <si>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</si>
  <si>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</si>
  <si>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</si>
  <si>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</si>
  <si>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</si>
  <si>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</si>
  <si>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</si>
  <si>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</si>
  <si>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</si>
  <si>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</si>
  <si>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</si>
  <si>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</si>
  <si>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</si>
  <si>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</si>
  <si>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</si>
  <si>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</si>
  <si>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</si>
  <si>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</si>
  <si>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</si>
  <si>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</si>
  <si>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</si>
  <si>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</si>
  <si>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</si>
  <si>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</si>
  <si>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</si>
  <si>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</si>
  <si>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</si>
  <si>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</si>
  <si>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</si>
  <si>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</si>
  <si>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</si>
  <si>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</si>
  <si>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</si>
  <si>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</si>
  <si>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</si>
  <si>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</si>
  <si>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</si>
  <si>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</si>
  <si>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</si>
  <si>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</si>
  <si>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</si>
  <si>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</si>
  <si>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</si>
  <si>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</si>
  <si>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稼動時間/分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</si>
  <si>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</si>
  <si>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</si>
  <si>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</si>
  <si>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時間/分</t>
    <phoneticPr fontId="13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</si>
  <si>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</si>
  <si>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</si>
  <si>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</si>
  <si>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</si>
  <si>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</si>
  <si>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</si>
  <si>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</si>
  <si>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</si>
  <si>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</si>
  <si>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</si>
  <si>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</si>
  <si>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</si>
  <si>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</si>
  <si>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</si>
  <si>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</si>
  <si>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</si>
  <si>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</si>
  <si>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</si>
  <si>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</si>
  <si>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</si>
  <si>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</si>
  <si>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</si>
  <si>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人時性</t>
    <phoneticPr fontId="4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</si>
  <si>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</si>
  <si>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</si>
  <si>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</si>
  <si>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</si>
  <si>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</si>
  <si>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</si>
  <si>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</si>
  <si>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</si>
  <si>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</si>
  <si>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</si>
  <si>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</si>
  <si>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</si>
  <si>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</si>
  <si>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</si>
  <si>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</si>
  <si>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</si>
  <si>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</si>
  <si>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</si>
  <si>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</si>
  <si>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</si>
  <si>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</si>
  <si>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</si>
  <si>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</si>
  <si>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</si>
  <si>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</si>
  <si>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</si>
  <si>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</si>
  <si>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</si>
  <si>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</si>
  <si>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</si>
  <si>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</si>
  <si>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</si>
  <si>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</si>
  <si>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</si>
  <si>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</si>
  <si>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</si>
  <si>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</si>
  <si>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</si>
  <si>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</si>
  <si>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</si>
  <si>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</si>
  <si>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</si>
  <si>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</si>
  <si>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</si>
  <si>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</si>
  <si>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</si>
  <si>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</si>
  <si>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</si>
  <si>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</si>
  <si>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</si>
  <si>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</si>
  <si>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</si>
  <si>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</si>
  <si>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</si>
  <si>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</si>
  <si>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</si>
  <si>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</si>
  <si>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</si>
  <si>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</si>
  <si>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</si>
  <si>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</si>
  <si>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</si>
  <si>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</si>
  <si>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</si>
  <si>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</si>
  <si>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</si>
  <si>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</si>
  <si>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</si>
  <si>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</si>
  <si>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</si>
  <si>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</si>
  <si>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</si>
  <si>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</si>
  <si>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</si>
  <si>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</si>
  <si>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</si>
  <si>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</si>
  <si>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</si>
  <si>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</si>
  <si>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</si>
  <si>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</si>
  <si>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</si>
  <si>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</si>
  <si>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</si>
  <si>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</si>
  <si>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</si>
  <si>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</si>
  <si>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</si>
  <si>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</si>
  <si>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</si>
  <si>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</si>
  <si>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</si>
  <si>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</si>
  <si>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</si>
  <si>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</si>
  <si>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</si>
  <si>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</si>
  <si>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</si>
  <si>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</si>
  <si>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</si>
  <si>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</si>
  <si>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</si>
  <si>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</si>
  <si>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</si>
  <si>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</si>
  <si>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</si>
  <si>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</si>
  <si>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</si>
  <si>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</si>
  <si>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</si>
  <si>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</si>
  <si>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</si>
  <si>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</si>
  <si>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</si>
  <si>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</si>
  <si>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</si>
  <si>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</si>
  <si>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</si>
  <si>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</si>
  <si>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</si>
  <si>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</si>
  <si>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</si>
  <si>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</si>
  <si>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</si>
  <si>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</si>
  <si>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</si>
  <si>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</si>
  <si>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</si>
  <si>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</si>
  <si>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</si>
  <si>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</si>
  <si>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</si>
  <si>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</si>
  <si>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</si>
  <si>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</si>
  <si>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</si>
  <si>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</si>
  <si>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</si>
  <si>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</si>
  <si>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</si>
  <si>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</si>
  <si>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</si>
  <si>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</si>
  <si>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</si>
  <si>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</si>
  <si>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</si>
  <si>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</si>
  <si>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</si>
  <si>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</si>
  <si>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</si>
  <si>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</si>
  <si>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</si>
  <si>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</si>
  <si>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</si>
  <si>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</si>
  <si>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</si>
  <si>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</si>
  <si>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</si>
  <si>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</si>
  <si>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</si>
  <si>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</si>
  <si>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</si>
  <si>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</si>
  <si>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</si>
  <si>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</si>
  <si>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</si>
  <si>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</si>
  <si>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</si>
  <si>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</si>
  <si>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</si>
  <si>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</si>
  <si>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</si>
  <si>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</si>
  <si>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</si>
  <si>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</si>
  <si>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</si>
  <si>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</si>
  <si>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</si>
  <si>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</si>
  <si>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</si>
  <si>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</si>
  <si>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</si>
  <si>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</si>
  <si>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</si>
  <si>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</si>
  <si>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</si>
  <si>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</si>
  <si>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</si>
  <si>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</si>
  <si>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</si>
  <si>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</si>
  <si>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</si>
  <si>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</si>
  <si>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</si>
  <si>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</si>
  <si>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</si>
  <si>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</si>
  <si>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</si>
  <si>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</si>
  <si>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</si>
  <si>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</si>
  <si>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</si>
  <si>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</si>
  <si>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</si>
  <si>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</si>
  <si>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</si>
  <si>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</si>
  <si>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</si>
  <si>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</si>
  <si>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</si>
  <si>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</si>
  <si>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</si>
  <si>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</si>
  <si>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</si>
  <si>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</si>
  <si>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</si>
  <si>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</si>
  <si>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</si>
  <si>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</si>
  <si>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</si>
  <si>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</si>
  <si>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</si>
  <si>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</si>
  <si>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</si>
  <si>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</si>
  <si>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</si>
  <si>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</si>
  <si>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</si>
  <si>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</si>
  <si>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</si>
  <si>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</si>
  <si>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</si>
  <si>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</si>
  <si>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</si>
  <si>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</si>
  <si>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</si>
  <si>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</si>
  <si>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</si>
  <si>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</si>
  <si>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</si>
  <si>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</si>
  <si>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</si>
  <si>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</si>
  <si>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</si>
  <si>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</si>
  <si>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</si>
  <si>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</si>
  <si>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</si>
  <si>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</si>
  <si>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</si>
  <si>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</si>
  <si>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</si>
  <si>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</si>
  <si>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</si>
  <si>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</si>
  <si>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</si>
  <si>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</si>
  <si>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</si>
  <si>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</si>
  <si>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</si>
  <si>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</si>
  <si>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</si>
  <si>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</si>
  <si>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</si>
  <si>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</si>
  <si>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</si>
  <si>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</si>
  <si>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</si>
  <si>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</si>
  <si>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</si>
  <si>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</si>
  <si>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</si>
  <si>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</si>
  <si>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</si>
  <si>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</si>
  <si>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</si>
  <si>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</si>
  <si>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</si>
  <si>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</si>
  <si>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</si>
  <si>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</si>
  <si>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</si>
  <si>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</si>
  <si>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</si>
  <si>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</si>
  <si>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</si>
  <si>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</si>
  <si>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</si>
  <si>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</si>
  <si>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</si>
  <si>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</si>
  <si>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</si>
  <si>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</si>
  <si>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</si>
  <si>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</si>
  <si>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</si>
  <si>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</si>
  <si>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</si>
  <si>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</si>
  <si>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</si>
  <si>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</si>
  <si>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</si>
  <si>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</si>
  <si>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</si>
  <si>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</si>
  <si>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</si>
  <si>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</si>
  <si>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</si>
  <si>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</si>
  <si>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</si>
  <si>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</si>
  <si>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</si>
  <si>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</si>
  <si>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</si>
  <si>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</si>
  <si>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</si>
  <si>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</si>
  <si>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</si>
  <si>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</si>
  <si>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</si>
  <si>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</si>
  <si>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</si>
  <si>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</si>
  <si>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</si>
  <si>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</si>
  <si>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</si>
  <si>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</si>
  <si>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</si>
  <si>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</si>
  <si>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</si>
  <si>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</si>
  <si>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</si>
  <si>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</si>
  <si>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</si>
  <si>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</si>
  <si>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</si>
  <si>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</si>
  <si>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</si>
  <si>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</si>
  <si>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</si>
  <si>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</si>
  <si>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</si>
  <si>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</si>
  <si>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</si>
  <si>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</si>
  <si>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</si>
  <si>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</si>
  <si>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</si>
  <si>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</si>
  <si>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</si>
  <si>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</si>
  <si>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</si>
  <si>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</si>
  <si>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</si>
  <si>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</si>
  <si>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</si>
  <si>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</si>
  <si>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</si>
  <si>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</si>
  <si>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</si>
  <si>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</si>
  <si>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</si>
  <si>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</si>
  <si>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</si>
  <si>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</si>
  <si>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</si>
  <si>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</si>
  <si>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</si>
  <si>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</si>
  <si>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</si>
  <si>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</si>
  <si>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</si>
  <si>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</si>
  <si>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</si>
  <si>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</si>
  <si>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</si>
  <si>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</si>
  <si>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</si>
  <si>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</si>
  <si>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</si>
  <si>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</si>
  <si>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</si>
  <si>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</si>
  <si>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</si>
  <si>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</si>
  <si>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</si>
  <si>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</si>
  <si>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</si>
  <si>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</si>
  <si>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</si>
  <si>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</si>
  <si>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</si>
  <si>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</si>
  <si>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</si>
  <si>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</si>
  <si>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</si>
  <si>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</si>
  <si>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</si>
  <si>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</si>
  <si>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</si>
  <si>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</si>
  <si>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</si>
  <si>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</si>
  <si>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</si>
  <si>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</si>
  <si>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</si>
  <si>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</si>
  <si>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</si>
  <si>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</si>
  <si>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</si>
  <si>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</si>
  <si>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</si>
  <si>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</si>
  <si>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</si>
  <si>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</si>
  <si>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</si>
  <si>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</si>
  <si>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</si>
  <si>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</si>
  <si>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</si>
  <si>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</si>
  <si>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</si>
  <si>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</si>
  <si>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</si>
  <si>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</si>
  <si>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</si>
  <si>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</si>
  <si>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</si>
  <si>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</si>
  <si>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</si>
  <si>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</si>
  <si>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</si>
  <si>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</si>
  <si>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</si>
  <si>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</si>
  <si>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二配泰式檸檬魚飯</t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</si>
  <si>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</si>
  <si>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</si>
  <si>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</si>
  <si>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</si>
  <si>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</si>
  <si>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</si>
  <si>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</si>
  <si>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</si>
  <si>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</si>
  <si>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</si>
  <si>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</si>
  <si>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炒飯+沙拉</t>
    <phoneticPr fontId="4" type="noConversion"/>
  </si>
  <si>
    <t>握沙拉</t>
    <phoneticPr fontId="4" type="noConversion"/>
  </si>
  <si>
    <t>圓盤機</t>
    <phoneticPr fontId="4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</si>
  <si>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</si>
  <si>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</si>
  <si>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</si>
  <si>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設備次數</t>
    <phoneticPr fontId="13" type="noConversion"/>
  </si>
  <si>
    <t>短暫停線
(5分鐘以下)</t>
    <phoneticPr fontId="13" type="noConversion"/>
  </si>
  <si>
    <t>時間/分</t>
    <phoneticPr fontId="13" type="noConversion"/>
  </si>
  <si>
    <t>結束</t>
    <phoneticPr fontId="3" type="noConversion"/>
  </si>
  <si>
    <t>編組</t>
    <phoneticPr fontId="3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</si>
  <si>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</si>
  <si>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</si>
  <si>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</si>
  <si>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設備次數</t>
    <phoneticPr fontId="3" type="noConversion"/>
  </si>
  <si>
    <t>合計次數</t>
    <phoneticPr fontId="4" type="noConversion"/>
  </si>
  <si>
    <t>時間</t>
    <phoneticPr fontId="3" type="noConversion"/>
  </si>
  <si>
    <t>③三明治-各編組展開</t>
    <phoneticPr fontId="3" type="noConversion"/>
  </si>
  <si>
    <t>4度C-各編組展開</t>
    <phoneticPr fontId="3" type="noConversion"/>
  </si>
  <si>
    <t>短暫停線</t>
    <phoneticPr fontId="4" type="noConversion"/>
  </si>
  <si>
    <t>訂單量</t>
    <phoneticPr fontId="3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</si>
  <si>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</si>
  <si>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</si>
  <si>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</si>
  <si>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新豐3線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</si>
  <si>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</si>
  <si>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</si>
  <si>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</si>
  <si>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</si>
  <si>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</si>
  <si>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</si>
  <si>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</si>
  <si>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</si>
  <si>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</si>
  <si>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</si>
  <si>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</si>
  <si>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</si>
  <si>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</si>
  <si>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</si>
  <si>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</si>
  <si>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</si>
  <si>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新豐2線</t>
    <phoneticPr fontId="4" type="noConversion"/>
  </si>
  <si>
    <t>新豐2線</t>
    <phoneticPr fontId="4" type="noConversion"/>
  </si>
  <si>
    <t>短暫停線統計
(5分鐘以下)</t>
    <phoneticPr fontId="4" type="noConversion"/>
  </si>
  <si>
    <t>稼動時間/分</t>
    <phoneticPr fontId="4" type="noConversion"/>
  </si>
  <si>
    <t>達成率平均</t>
    <phoneticPr fontId="4" type="noConversion"/>
  </si>
  <si>
    <t>品名</t>
    <phoneticPr fontId="3" type="noConversion"/>
  </si>
  <si>
    <t>多次生產數</t>
    <phoneticPr fontId="4" type="noConversion"/>
  </si>
  <si>
    <t>產能差異分析</t>
    <phoneticPr fontId="4" type="noConversion"/>
  </si>
  <si>
    <t>合計
時間/分</t>
    <phoneticPr fontId="3" type="noConversion"/>
  </si>
  <si>
    <t>日報登錄</t>
    <phoneticPr fontId="4" type="noConversion"/>
  </si>
  <si>
    <t>生產實績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</si>
  <si>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</si>
  <si>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</si>
  <si>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</si>
  <si>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</si>
  <si>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</si>
  <si>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</si>
  <si>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</si>
  <si>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</si>
  <si>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</si>
  <si>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</si>
  <si>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</si>
  <si>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</si>
  <si>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</si>
  <si>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</si>
  <si>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</si>
  <si>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</si>
  <si>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</si>
  <si>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</si>
  <si>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</si>
  <si>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</si>
  <si>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</si>
  <si>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</si>
  <si>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</si>
  <si>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</si>
  <si>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</si>
  <si>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</si>
  <si>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</si>
  <si>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</si>
  <si>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</si>
  <si>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</si>
  <si>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</si>
  <si>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</si>
  <si>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</si>
  <si>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</si>
  <si>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</si>
  <si>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</si>
  <si>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</si>
  <si>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</si>
  <si>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</si>
  <si>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</si>
  <si>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</si>
  <si>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</si>
  <si>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</si>
  <si>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</si>
  <si>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營業額</t>
    <phoneticPr fontId="7" type="noConversion"/>
  </si>
  <si>
    <t>產線配置圖</t>
    <phoneticPr fontId="4" type="noConversion"/>
  </si>
  <si>
    <t>日報登錄</t>
    <phoneticPr fontId="4" type="noConversion"/>
  </si>
  <si>
    <t>合計
設備次數</t>
    <phoneticPr fontId="3" type="noConversion"/>
  </si>
  <si>
    <t>品類</t>
    <phoneticPr fontId="4" type="noConversion"/>
  </si>
  <si>
    <t>多次
生產</t>
    <phoneticPr fontId="4" type="noConversion"/>
  </si>
  <si>
    <t>人數</t>
    <phoneticPr fontId="4" type="noConversion"/>
  </si>
  <si>
    <t>人時性</t>
    <phoneticPr fontId="4" type="noConversion"/>
  </si>
  <si>
    <t>稼動時間/分</t>
    <phoneticPr fontId="4" type="noConversion"/>
  </si>
  <si>
    <t>產線異常統計
(5分鐘以上)</t>
    <phoneticPr fontId="4" type="noConversion"/>
  </si>
  <si>
    <t>達成率平均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</si>
  <si>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</si>
  <si>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</si>
  <si>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</si>
  <si>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</si>
  <si>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</si>
  <si>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</si>
  <si>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</si>
  <si>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</si>
  <si>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</si>
  <si>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</si>
  <si>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</si>
  <si>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</si>
  <si>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</si>
  <si>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</si>
  <si>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</si>
  <si>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</si>
  <si>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</si>
  <si>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</si>
  <si>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</si>
  <si>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</si>
  <si>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</si>
  <si>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</si>
  <si>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</si>
  <si>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</si>
  <si>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</si>
  <si>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</si>
  <si>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</si>
  <si>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</si>
  <si>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</si>
  <si>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</si>
  <si>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</si>
  <si>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</si>
  <si>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</si>
  <si>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</si>
  <si>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</si>
  <si>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</si>
  <si>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</si>
  <si>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</si>
  <si>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</si>
  <si>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</si>
  <si>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</si>
  <si>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</si>
  <si>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</si>
  <si>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</si>
  <si>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</si>
  <si>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</si>
  <si>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</si>
  <si>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</si>
  <si>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</si>
  <si>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</si>
  <si>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</si>
  <si>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</si>
  <si>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</si>
  <si>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</si>
  <si>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</si>
  <si>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</si>
  <si>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</si>
  <si>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</si>
  <si>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</si>
  <si>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</si>
  <si>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線別</t>
    <phoneticPr fontId="3" type="noConversion"/>
  </si>
  <si>
    <t>品名</t>
    <phoneticPr fontId="3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</si>
  <si>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</si>
  <si>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</si>
  <si>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</si>
  <si>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</si>
  <si>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</si>
  <si>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</si>
  <si>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</si>
  <si>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</si>
  <si>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</si>
  <si>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</si>
  <si>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</si>
  <si>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</si>
  <si>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</si>
  <si>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</si>
  <si>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</si>
  <si>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</si>
  <si>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</si>
  <si>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</si>
  <si>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</si>
  <si>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</si>
  <si>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</si>
  <si>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</si>
  <si>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</si>
  <si>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</si>
  <si>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</si>
  <si>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</si>
  <si>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</si>
  <si>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</si>
  <si>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</si>
  <si>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</si>
  <si>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</si>
  <si>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</si>
  <si>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</si>
  <si>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</si>
  <si>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</si>
  <si>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</si>
  <si>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</si>
  <si>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</si>
  <si>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</si>
  <si>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</si>
  <si>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</si>
  <si>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</si>
  <si>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</si>
  <si>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</si>
  <si>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</si>
  <si>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</si>
  <si>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</si>
  <si>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</si>
  <si>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</si>
  <si>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</si>
  <si>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</si>
  <si>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</si>
  <si>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</si>
  <si>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</si>
  <si>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</si>
  <si>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</si>
  <si>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</si>
  <si>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</si>
  <si>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</si>
  <si>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</si>
  <si>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</si>
  <si>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</si>
  <si>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</si>
  <si>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</si>
  <si>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</si>
  <si>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</si>
  <si>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</si>
  <si>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</si>
  <si>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</si>
  <si>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</si>
  <si>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</si>
  <si>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</si>
  <si>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</si>
  <si>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</si>
  <si>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</si>
  <si>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</si>
  <si>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</si>
  <si>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</si>
  <si>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</si>
  <si>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</si>
  <si>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</si>
  <si>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</si>
  <si>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</si>
  <si>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</si>
  <si>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</si>
  <si>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</si>
  <si>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</si>
  <si>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</si>
  <si>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</si>
  <si>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</si>
  <si>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</si>
  <si>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</si>
  <si>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</si>
  <si>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</si>
  <si>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</si>
  <si>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</si>
  <si>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</si>
  <si>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</si>
  <si>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</si>
  <si>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</si>
  <si>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</si>
  <si>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</si>
  <si>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</si>
  <si>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</si>
  <si>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</si>
  <si>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</si>
  <si>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</si>
  <si>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</si>
  <si>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</si>
  <si>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</si>
  <si>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</si>
  <si>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</si>
  <si>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</si>
  <si>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</si>
  <si>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</si>
  <si>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</si>
  <si>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</si>
  <si>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</si>
  <si>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</si>
  <si>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</si>
  <si>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</si>
  <si>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</si>
  <si>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</si>
  <si>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</si>
  <si>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</si>
  <si>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</si>
  <si>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</si>
  <si>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</si>
  <si>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</si>
  <si>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</si>
  <si>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</si>
  <si>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</si>
  <si>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</si>
  <si>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</si>
  <si>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</si>
  <si>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</si>
  <si>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</si>
  <si>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</si>
  <si>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</si>
  <si>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</si>
  <si>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</si>
  <si>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</si>
  <si>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</si>
  <si>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</si>
  <si>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</si>
  <si>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</si>
  <si>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</si>
  <si>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</si>
  <si>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</si>
  <si>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</si>
  <si>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</si>
  <si>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</si>
  <si>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</si>
  <si>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</si>
  <si>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</si>
  <si>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</si>
  <si>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</si>
  <si>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</si>
  <si>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</si>
  <si>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</si>
  <si>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</si>
  <si>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</si>
  <si>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</si>
  <si>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</si>
  <si>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</si>
  <si>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</si>
  <si>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</si>
  <si>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</si>
  <si>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</si>
  <si>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</si>
  <si>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</si>
  <si>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</si>
  <si>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</si>
  <si>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</si>
  <si>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</si>
  <si>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</si>
  <si>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</si>
  <si>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</si>
  <si>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</si>
  <si>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</si>
  <si>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</si>
  <si>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</si>
  <si>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</si>
  <si>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</si>
  <si>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</si>
  <si>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</si>
  <si>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</si>
  <si>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</si>
  <si>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</si>
  <si>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</si>
  <si>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</si>
  <si>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</si>
  <si>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</si>
  <si>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</si>
  <si>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</si>
  <si>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</si>
  <si>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</si>
  <si>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</si>
  <si>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</si>
  <si>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</si>
  <si>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</si>
  <si>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</si>
  <si>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</si>
  <si>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</si>
  <si>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</si>
  <si>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</si>
  <si>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</si>
  <si>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</si>
  <si>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</si>
  <si>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</si>
  <si>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</si>
  <si>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</si>
  <si>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</si>
  <si>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</si>
  <si>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</si>
  <si>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</si>
  <si>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</si>
  <si>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</si>
  <si>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</si>
  <si>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</si>
  <si>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</si>
  <si>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</si>
  <si>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</si>
  <si>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</si>
  <si>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</si>
  <si>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</si>
  <si>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</si>
  <si>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</si>
  <si>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</si>
  <si>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</si>
  <si>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</si>
  <si>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</si>
  <si>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</si>
  <si>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</si>
  <si>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</si>
  <si>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</si>
  <si>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</si>
  <si>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</si>
  <si>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</si>
  <si>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</si>
  <si>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</si>
  <si>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</si>
  <si>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</si>
  <si>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</si>
  <si>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</si>
  <si>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</si>
  <si>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</si>
  <si>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</si>
  <si>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</si>
  <si>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</si>
  <si>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</si>
  <si>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</si>
  <si>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</si>
  <si>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</si>
  <si>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</si>
  <si>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</si>
  <si>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</si>
  <si>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</si>
  <si>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</si>
  <si>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</si>
  <si>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</si>
  <si>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</si>
  <si>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</si>
  <si>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</si>
  <si>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</si>
  <si>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合計
設備次數</t>
    <phoneticPr fontId="3" type="noConversion"/>
  </si>
  <si>
    <t>人數</t>
    <phoneticPr fontId="4" type="noConversion"/>
  </si>
  <si>
    <t>短暫停線統計
(5分鐘以下)</t>
    <phoneticPr fontId="4" type="noConversion"/>
  </si>
  <si>
    <t>達成率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</si>
  <si>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</si>
  <si>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</si>
  <si>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</si>
  <si>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</si>
  <si>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新豐2線</t>
    <phoneticPr fontId="4" type="noConversion"/>
  </si>
  <si>
    <t>新豐8線</t>
    <phoneticPr fontId="4" type="noConversion"/>
  </si>
  <si>
    <t>新豐9線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</si>
  <si>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</si>
  <si>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</si>
  <si>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</si>
  <si>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</si>
  <si>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</si>
  <si>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</si>
  <si>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</si>
  <si>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</si>
  <si>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</si>
  <si>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</si>
  <si>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</si>
  <si>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</si>
  <si>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</si>
  <si>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</si>
  <si>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③三明治-各編組展開</t>
    <phoneticPr fontId="4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</si>
  <si>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</si>
  <si>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</si>
  <si>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</si>
  <si>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</si>
  <si>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</si>
  <si>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</si>
  <si>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</si>
  <si>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</si>
  <si>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</si>
  <si>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</si>
  <si>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</si>
  <si>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</si>
  <si>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</si>
  <si>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</si>
  <si>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</si>
  <si>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</si>
  <si>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</si>
  <si>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</si>
  <si>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</si>
  <si>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</si>
  <si>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</si>
  <si>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</si>
  <si>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</si>
  <si>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</si>
  <si>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</si>
  <si>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</si>
  <si>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</si>
  <si>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</si>
  <si>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</si>
  <si>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</si>
  <si>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</si>
  <si>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</si>
  <si>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</si>
  <si>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</si>
  <si>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</si>
  <si>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</si>
  <si>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</si>
  <si>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</si>
  <si>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</si>
  <si>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</si>
  <si>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</si>
  <si>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</si>
  <si>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</si>
  <si>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</si>
  <si>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</si>
  <si>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</si>
  <si>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</si>
  <si>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</si>
  <si>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</si>
  <si>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</si>
  <si>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</si>
  <si>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</si>
  <si>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</si>
  <si>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</si>
  <si>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</si>
  <si>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</si>
  <si>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</si>
  <si>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</si>
  <si>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</si>
  <si>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</si>
  <si>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</si>
  <si>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</si>
  <si>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</si>
  <si>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</si>
  <si>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</si>
  <si>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</si>
  <si>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</si>
  <si>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</si>
  <si>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</si>
  <si>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</si>
  <si>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</si>
  <si>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</si>
  <si>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</si>
  <si>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</si>
  <si>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</si>
  <si>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</si>
  <si>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</si>
  <si>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</si>
  <si>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</si>
  <si>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</si>
  <si>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</si>
  <si>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</si>
  <si>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</si>
  <si>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</si>
  <si>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</si>
  <si>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</si>
  <si>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</si>
  <si>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</si>
  <si>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</si>
  <si>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</si>
  <si>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泰式炒河粉</t>
  </si>
  <si>
    <t>超HOT雞腿堡</t>
  </si>
  <si>
    <t>雙泰奶QQ三明治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</si>
  <si>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</si>
  <si>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</si>
  <si>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</si>
  <si>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</si>
  <si>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</si>
  <si>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</si>
  <si>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</si>
  <si>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</si>
  <si>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</si>
  <si>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</si>
  <si>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</si>
  <si>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</si>
  <si>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</si>
  <si>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</si>
  <si>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</si>
  <si>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</si>
  <si>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</si>
  <si>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</si>
  <si>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</si>
  <si>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</si>
  <si>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</si>
  <si>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</si>
  <si>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</si>
  <si>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</si>
  <si>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</si>
  <si>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</si>
  <si>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</si>
  <si>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</si>
  <si>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</si>
  <si>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</si>
  <si>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</si>
  <si>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</si>
  <si>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</si>
  <si>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</si>
  <si>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</si>
  <si>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</si>
  <si>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</si>
  <si>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</si>
  <si>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</si>
  <si>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</si>
  <si>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</si>
  <si>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</si>
  <si>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</si>
  <si>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</si>
  <si>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</si>
  <si>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</si>
  <si>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</si>
  <si>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</si>
  <si>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</si>
  <si>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</si>
  <si>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</si>
  <si>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</si>
  <si>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</si>
  <si>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</si>
  <si>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</si>
  <si>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</si>
  <si>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</si>
  <si>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</si>
  <si>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</si>
  <si>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</si>
  <si>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</si>
  <si>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</si>
  <si>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</si>
  <si>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</si>
  <si>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</si>
  <si>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</si>
  <si>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</si>
  <si>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</si>
  <si>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</si>
  <si>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</si>
  <si>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</si>
  <si>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</si>
  <si>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</si>
  <si>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</si>
  <si>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</si>
  <si>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</si>
  <si>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</si>
  <si>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</si>
  <si>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</si>
  <si>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</si>
  <si>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</si>
  <si>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</si>
  <si>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</si>
  <si>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</si>
  <si>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</si>
  <si>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</si>
  <si>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</si>
  <si>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</si>
  <si>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</si>
  <si>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</si>
  <si>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</si>
  <si>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</si>
  <si>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</si>
  <si>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</si>
  <si>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</si>
  <si>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</si>
  <si>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</si>
  <si>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</si>
  <si>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</si>
  <si>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</si>
  <si>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</si>
  <si>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</si>
  <si>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</si>
  <si>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</si>
  <si>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</si>
  <si>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</si>
  <si>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</si>
  <si>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</si>
  <si>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</si>
  <si>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</si>
  <si>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</si>
  <si>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</si>
  <si>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</si>
  <si>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</si>
  <si>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</si>
  <si>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</si>
  <si>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</si>
  <si>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</si>
  <si>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</si>
  <si>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</si>
  <si>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</si>
  <si>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</si>
  <si>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</si>
  <si>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</si>
  <si>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</si>
  <si>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</si>
  <si>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</si>
  <si>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</si>
  <si>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</si>
  <si>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</si>
  <si>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</si>
  <si>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</si>
  <si>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</si>
  <si>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</si>
  <si>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</si>
  <si>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</si>
  <si>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</si>
  <si>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</si>
  <si>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</si>
  <si>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</si>
  <si>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</si>
  <si>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</si>
  <si>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</si>
  <si>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</si>
  <si>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</si>
  <si>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</si>
  <si>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</si>
  <si>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</si>
  <si>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</si>
  <si>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</si>
  <si>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</si>
  <si>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</si>
  <si>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</si>
  <si>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</si>
  <si>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</si>
  <si>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</si>
  <si>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</si>
  <si>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</si>
  <si>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</si>
  <si>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</si>
  <si>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</si>
  <si>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</si>
  <si>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</si>
  <si>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</si>
  <si>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</si>
  <si>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</si>
  <si>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</si>
  <si>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</si>
  <si>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</si>
  <si>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</si>
  <si>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</si>
  <si>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</si>
  <si>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</si>
  <si>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</si>
  <si>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</si>
  <si>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</si>
  <si>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</si>
  <si>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</si>
  <si>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</si>
  <si>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</si>
  <si>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</si>
  <si>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</si>
  <si>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</si>
  <si>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</si>
  <si>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</si>
  <si>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</si>
  <si>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</si>
  <si>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</si>
  <si>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</si>
  <si>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</si>
  <si>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</si>
  <si>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</si>
  <si>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</si>
  <si>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</si>
  <si>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</si>
  <si>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</si>
  <si>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</si>
  <si>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</si>
  <si>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</si>
  <si>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</si>
  <si>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</si>
  <si>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</si>
  <si>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</si>
  <si>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</si>
  <si>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</si>
  <si>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</si>
  <si>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</si>
  <si>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</si>
  <si>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</si>
  <si>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</si>
  <si>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</si>
  <si>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</si>
  <si>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</si>
  <si>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</si>
  <si>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</si>
  <si>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</si>
  <si>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</si>
  <si>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</si>
  <si>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</si>
  <si>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</si>
  <si>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</si>
  <si>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</si>
  <si>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</si>
  <si>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</si>
  <si>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</si>
  <si>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</si>
  <si>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</si>
  <si>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</si>
  <si>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</si>
  <si>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</si>
  <si>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</si>
  <si>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產能差異分析</t>
    <phoneticPr fontId="4" type="noConversion"/>
  </si>
  <si>
    <t>線別</t>
    <phoneticPr fontId="3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</si>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</sst>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63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81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0" xfId="1" applyFont="1" applyFill="1">
      <alignment vertical="center"/>
    </xf>
    <xf numFmtId="0" fontId="10" fillId="0" borderId="4" xfId="2" applyFont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182" fontId="6" fillId="0" borderId="1" xfId="1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81" fontId="6" fillId="0" borderId="5" xfId="1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/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1" fillId="0" borderId="0" xfId="1" applyFont="1" applyFill="1">
      <alignment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Fill="1" applyBorder="1" applyAlignment="1"/>
    <xf numFmtId="0" fontId="6" fillId="0" borderId="1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left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2132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D10" sqref="D10:J10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84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2679</v>
      </c>
      <c r="C3" s="594" t="str">
        <f>TEXT('0731 4度C'!A2,"yyyy.mm.ddaaaa")</f>
        <v>2026.07.31星期五</v>
      </c>
      <c r="D3" s="595"/>
      <c r="E3" s="36" t="s">
        <v>289</v>
      </c>
      <c r="F3" s="596">
        <f>'0731 4度C'!D1</f>
        <v>144931</v>
      </c>
      <c r="G3" s="597"/>
      <c r="H3" s="36" t="s">
        <v>2680</v>
      </c>
      <c r="I3" s="598">
        <f>'0731 4度C'!F1</f>
        <v>5031860.0000000009</v>
      </c>
      <c r="J3" s="599"/>
      <c r="K3" s="37"/>
      <c r="L3" s="38"/>
      <c r="M3" s="39"/>
      <c r="N3" s="39"/>
    </row>
    <row r="4" spans="2:17" ht="28.5" customHeight="1">
      <c r="B4" s="600" t="s">
        <v>291</v>
      </c>
      <c r="C4" s="586" t="s">
        <v>2681</v>
      </c>
      <c r="D4" s="587"/>
      <c r="E4" s="603" t="s">
        <v>2682</v>
      </c>
      <c r="F4" s="604"/>
      <c r="G4" s="603" t="s">
        <v>2683</v>
      </c>
      <c r="H4" s="604"/>
      <c r="I4" s="603" t="s">
        <v>2684</v>
      </c>
      <c r="J4" s="604"/>
      <c r="K4" s="584" t="s">
        <v>2685</v>
      </c>
      <c r="L4" s="585"/>
      <c r="M4" s="585" t="s">
        <v>2686</v>
      </c>
      <c r="N4" s="585"/>
    </row>
    <row r="5" spans="2:17" ht="28.5" customHeight="1">
      <c r="B5" s="601"/>
      <c r="C5" s="586" t="s">
        <v>2687</v>
      </c>
      <c r="D5" s="587"/>
      <c r="E5" s="586" t="s">
        <v>2688</v>
      </c>
      <c r="F5" s="587"/>
      <c r="G5" s="588" t="s">
        <v>2689</v>
      </c>
      <c r="H5" s="589"/>
      <c r="I5" s="590" t="s">
        <v>2690</v>
      </c>
      <c r="J5" s="591"/>
      <c r="K5" s="40" t="s">
        <v>2691</v>
      </c>
      <c r="L5" s="41" t="s">
        <v>2692</v>
      </c>
      <c r="M5" s="40" t="s">
        <v>2691</v>
      </c>
      <c r="N5" s="41" t="s">
        <v>2693</v>
      </c>
    </row>
    <row r="6" spans="2:17" ht="28.5" customHeight="1">
      <c r="B6" s="601"/>
      <c r="C6" s="586" t="s">
        <v>41</v>
      </c>
      <c r="D6" s="587"/>
      <c r="E6" s="578">
        <f>AVERAGE(D13:M13)</f>
        <v>157.66602961349119</v>
      </c>
      <c r="F6" s="579">
        <f>AVERAGE(D31:O31,D13:J13)</f>
        <v>166.61987853694467</v>
      </c>
      <c r="G6" s="580">
        <f>AVERAGE(D13:J13)</f>
        <v>166.61987853694467</v>
      </c>
      <c r="H6" s="581"/>
      <c r="I6" s="580">
        <f>AVERAGE(K13:M13)</f>
        <v>136.77371545876645</v>
      </c>
      <c r="J6" s="581"/>
      <c r="K6" s="582">
        <f>'0731 4度C'!Y2</f>
        <v>0</v>
      </c>
      <c r="L6" s="567">
        <f>'0731 4度C'!Z2</f>
        <v>0</v>
      </c>
      <c r="M6" s="583">
        <f>'0731 4度C'!AC2</f>
        <v>55</v>
      </c>
      <c r="N6" s="567">
        <f>'0731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151.29095273106242</v>
      </c>
      <c r="F7" s="571">
        <f>AVERAGE(D32:O32,D14:J14)</f>
        <v>160.00617154902105</v>
      </c>
      <c r="G7" s="572">
        <f>AVERAGE(D14:J14)</f>
        <v>160.00617154902105</v>
      </c>
      <c r="H7" s="573"/>
      <c r="I7" s="572">
        <f>AVERAGE(K14:M14)</f>
        <v>130.95544215582558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0.9598424193271089</v>
      </c>
      <c r="F8" s="575">
        <f>AVERAGE(D15:J15,D33:O33)</f>
        <v>0.96084861357222251</v>
      </c>
      <c r="G8" s="576">
        <f>AVERAGE(D15:J15)</f>
        <v>0.96084861357222251</v>
      </c>
      <c r="H8" s="577"/>
      <c r="I8" s="576">
        <f>AVERAGE(K15:M15)</f>
        <v>0.95749463275517765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2694</v>
      </c>
      <c r="N9" s="39"/>
      <c r="O9" s="39"/>
      <c r="P9" s="39"/>
      <c r="Q9" s="39"/>
    </row>
    <row r="10" spans="2:17" ht="30" customHeight="1">
      <c r="B10" s="550" t="s">
        <v>2695</v>
      </c>
      <c r="C10" s="551"/>
      <c r="D10" s="552" t="s">
        <v>2696</v>
      </c>
      <c r="E10" s="553"/>
      <c r="F10" s="553"/>
      <c r="G10" s="553"/>
      <c r="H10" s="553"/>
      <c r="I10" s="553"/>
      <c r="J10" s="554"/>
      <c r="K10" s="555" t="s">
        <v>2697</v>
      </c>
      <c r="L10" s="556"/>
      <c r="M10" s="557"/>
      <c r="P10" s="45"/>
      <c r="Q10" s="45"/>
    </row>
    <row r="11" spans="2:17" ht="17.25" customHeight="1">
      <c r="B11" s="558" t="s">
        <v>2698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2699</v>
      </c>
      <c r="C13" s="52" t="s">
        <v>2700</v>
      </c>
      <c r="D13" s="53">
        <f>SUMIFS('0731 4度C'!$K:$K,'0731 4度C'!$A:$A,"新豐6線",'0731 4度C'!$B:$B,"平均")</f>
        <v>130.43478260869566</v>
      </c>
      <c r="E13" s="54">
        <f>SUMIFS('0731 4度C'!$K:$K,'0731 4度C'!$A:$A,"新豐2線",'0731 4度C'!$B:$B,"平均")</f>
        <v>85.714285714285708</v>
      </c>
      <c r="F13" s="55">
        <f>SUMIFS('0731 4度C'!$K:$K,'0731 4度C'!$A:$A,"新豐5線",'0731 4度C'!$B:$B,"平均")</f>
        <v>93.023255813953497</v>
      </c>
      <c r="G13" s="55">
        <f>SUMIFS('0731 4度C'!$K:$K,'0731 4度C'!$A:$A,"新豐7線",'0731 4度C'!$B:$B,"平均")</f>
        <v>127.65957446808511</v>
      </c>
      <c r="H13" s="55">
        <f>SUMIFS('0731 4度C'!$K:$K,'0731 4度C'!$A:$A,"新豐3線",'0731 4度C'!$B:$B,"平均")</f>
        <v>324.32432432432432</v>
      </c>
      <c r="I13" s="55">
        <f>SUMIFS('0731 4度C'!$K:$K,'0731 4度C'!$A:$A,"新豐1線",'0731 4度C'!$B:$B,"平均")</f>
        <v>112.5</v>
      </c>
      <c r="J13" s="56">
        <f>SUMIFS('0731 4度C'!$K:$K,'0731 4度C'!$A:$A,"新豐10線",'0731 4度C'!$B:$B,"平均")</f>
        <v>292.6829268292683</v>
      </c>
      <c r="K13" s="57">
        <f>SUMIFS('0731 4度C'!$K:$K,'0731 4度C'!$A:$A,"新豐8線",'0731 4度C'!$B:$B,"平均")</f>
        <v>137.70491803278691</v>
      </c>
      <c r="L13" s="58">
        <f>SUMIFS('0731 4度C'!$K:$K,'0731 4度C'!$A:$A,"新豐9線",'0731 4度C'!$B:$B,"平均")</f>
        <v>123.94366197183099</v>
      </c>
      <c r="M13" s="56">
        <f>SUMIFS('0731 4度C'!$K:$K,'0731 4度C'!$A:$A,"新豐4線",'0731 4度C'!$B:$B,"平均")</f>
        <v>148.67256637168143</v>
      </c>
    </row>
    <row r="14" spans="2:17" ht="39.6" customHeight="1">
      <c r="B14" s="563"/>
      <c r="C14" s="59" t="s">
        <v>2701</v>
      </c>
      <c r="D14" s="60">
        <f>SUMIFS('0731 4度C'!$N:$N,'0731 4度C'!$A:$A,"新豐6線",'0731 4度C'!$B:$B,"平均")</f>
        <v>125.89127237851659</v>
      </c>
      <c r="E14" s="61">
        <f>SUMIFS('0731 4度C'!$N:$N,'0731 4度C'!$A:$A,"新豐2線",'0731 4度C'!$B:$B,"平均")</f>
        <v>82.046320234219749</v>
      </c>
      <c r="F14" s="61">
        <f>SUMIFS('0731 4度C'!$N:$N,'0731 4度C'!$A:$A,"新豐5線",'0731 4度C'!$B:$B,"平均")</f>
        <v>89.39293822641001</v>
      </c>
      <c r="G14" s="61">
        <f>SUMIFS('0731 4度C'!$N:$N,'0731 4度C'!$A:$A,"新豐7線",'0731 4度C'!$B:$B,"平均")</f>
        <v>122.83842111067955</v>
      </c>
      <c r="H14" s="61">
        <f>SUMIFS('0731 4度C'!$N:$N,'0731 4度C'!$A:$A,"新豐3線",'0731 4度C'!$B:$B,"平均")</f>
        <v>310.74788499788531</v>
      </c>
      <c r="I14" s="61">
        <f>SUMIFS('0731 4度C'!$N:$N,'0731 4度C'!$A:$A,"新豐1線",'0731 4度C'!$B:$B,"平均")</f>
        <v>108.31139647015711</v>
      </c>
      <c r="J14" s="62">
        <f>SUMIFS('0731 4度C'!$N:$N,'0731 4度C'!$A:$A,"新豐10線",'0731 4度C'!$B:$B,"平均")</f>
        <v>280.81496742527906</v>
      </c>
      <c r="K14" s="63">
        <f>SUMIFS('0731 4度C'!$N:$N,'0731 4度C'!$A:$A,"新豐8線",'0731 4度C'!$B:$B,"平均")</f>
        <v>132.16653528687687</v>
      </c>
      <c r="L14" s="64">
        <f>SUMIFS('0731 4度C'!$N:$N,'0731 4度C'!$A:$A,"新豐9線",'0731 4度C'!$B:$B,"平均")</f>
        <v>118.61973228627498</v>
      </c>
      <c r="M14" s="62">
        <f>SUMIFS('0731 4度C'!$N:$N,'0731 4度C'!$A:$A,"新豐4線",'0731 4度C'!$B:$B,"平均")</f>
        <v>142.08005889432482</v>
      </c>
    </row>
    <row r="15" spans="2:17" ht="40.15" customHeight="1">
      <c r="B15" s="564"/>
      <c r="C15" s="65" t="s">
        <v>2702</v>
      </c>
      <c r="D15" s="66">
        <f t="shared" ref="D15:M15" si="0">D14/D13</f>
        <v>0.9651664215686272</v>
      </c>
      <c r="E15" s="67">
        <f t="shared" si="0"/>
        <v>0.9572070693992305</v>
      </c>
      <c r="F15" s="67">
        <f t="shared" si="0"/>
        <v>0.96097408593390754</v>
      </c>
      <c r="G15" s="67">
        <f t="shared" si="0"/>
        <v>0.96223429870032307</v>
      </c>
      <c r="H15" s="67">
        <f t="shared" si="0"/>
        <v>0.95813931207681302</v>
      </c>
      <c r="I15" s="67">
        <f t="shared" si="0"/>
        <v>0.96276796862361869</v>
      </c>
      <c r="J15" s="68">
        <f t="shared" si="0"/>
        <v>0.95945113870303678</v>
      </c>
      <c r="K15" s="66">
        <f t="shared" si="0"/>
        <v>0.95978079196422472</v>
      </c>
      <c r="L15" s="67">
        <f t="shared" si="0"/>
        <v>0.95704556730971857</v>
      </c>
      <c r="M15" s="68">
        <f t="shared" si="0"/>
        <v>0.95565753899158945</v>
      </c>
    </row>
    <row r="16" spans="2:17" ht="17.25" customHeight="1">
      <c r="B16" s="565" t="s">
        <v>2703</v>
      </c>
      <c r="C16" s="69" t="s">
        <v>2704</v>
      </c>
      <c r="D16" s="70">
        <f>VLOOKUP("新豐6線",'0731 4度C'!$A:$T,19,0)</f>
        <v>0.70833333333333337</v>
      </c>
      <c r="E16" s="71">
        <f>VLOOKUP("新豐2線",'0731 4度C'!$A:$T,19,0)</f>
        <v>8.3333333333333329E-2</v>
      </c>
      <c r="F16" s="71">
        <f>VLOOKUP("新豐5線",'0731 4度C'!$A:$T,19,0)</f>
        <v>8.3333333333333329E-2</v>
      </c>
      <c r="G16" s="71">
        <f>VLOOKUP("新豐7線",'0731 4度C'!$A:$T,19,0)</f>
        <v>0.20833333333333334</v>
      </c>
      <c r="H16" s="71">
        <f>VLOOKUP("新豐3線",'0731 4度C'!$A:$T,19,0)</f>
        <v>0.20833333333333334</v>
      </c>
      <c r="I16" s="71">
        <f>VLOOKUP("新豐1線",'0731 4度C'!$A:$T,19,0)</f>
        <v>8.3333333333333329E-2</v>
      </c>
      <c r="J16" s="72">
        <f>VLOOKUP("新豐10線",'0731 4度C'!$A:$T,19,0)</f>
        <v>0.20833333333333334</v>
      </c>
      <c r="K16" s="73">
        <f>VLOOKUP("新豐8線",'0731 4度C'!$A:$T,19,0)</f>
        <v>8.3333333333333329E-2</v>
      </c>
      <c r="L16" s="74">
        <f>VLOOKUP("新豐9線",'0731 4度C'!$A:$T,19,0)</f>
        <v>8.3333333333333329E-2</v>
      </c>
      <c r="M16" s="75">
        <f>VLOOKUP("新豐4線",'0731 4度C'!$A:$T,19,0)</f>
        <v>8.3333333333333329E-2</v>
      </c>
    </row>
    <row r="17" spans="2:13" ht="17.25" customHeight="1">
      <c r="B17" s="566"/>
      <c r="C17" s="69" t="s">
        <v>2705</v>
      </c>
      <c r="D17" s="73">
        <f>LOOKUP(2,1/(('0731 4度C'!$A:$A="新豐6線")*('0731 4度C'!$T:$T&lt;&gt;"")),'0731 4度C'!$T:$T)</f>
        <v>0.81041666666666667</v>
      </c>
      <c r="E17" s="71">
        <f>LOOKUP(2,1/(('0731 4度C'!$A:$A="新豐2線")*('0731 4度C'!$T:$T&lt;&gt;"")),'0731 4度C'!$T:$T)</f>
        <v>0.49236111111111108</v>
      </c>
      <c r="F17" s="71">
        <f>LOOKUP(2,1/(('0731 4度C'!$A:$A="新豐5線")*('0731 4度C'!$T:$T&lt;&gt;"")),'0731 4度C'!$T:$T)</f>
        <v>0.81944444444444442</v>
      </c>
      <c r="G17" s="71">
        <f>LOOKUP(2,1/(('0731 4度C'!$A:$A="新豐7線")*('0731 4度C'!$T:$T&lt;&gt;"")),'0731 4度C'!$T:$T)</f>
        <v>0.8208333333333333</v>
      </c>
      <c r="H17" s="71">
        <f>LOOKUP(2,1/(('0731 4度C'!$A:$A="新豐3線")*('0731 4度C'!$T:$T&lt;&gt;"")),'0731 4度C'!$T:$T)</f>
        <v>0.36874999999999997</v>
      </c>
      <c r="I17" s="71">
        <f>LOOKUP(2,1/(('0731 4度C'!$A:$A="新豐1線")*('0731 4度C'!$T:$T&lt;&gt;"")),'0731 4度C'!$T:$T)</f>
        <v>0.83888888888888891</v>
      </c>
      <c r="J17" s="72">
        <f>LOOKUP(2,1/(('0731 4度C'!$A:$A="新豐10線")*('0731 4度C'!$T:$T&lt;&gt;"")),'0731 4度C'!$T:$T)</f>
        <v>0.37361111111111101</v>
      </c>
      <c r="K17" s="70">
        <f>LOOKUP(2,1/(('0731 4度C'!$A:$A="新豐8線")*('0731 4度C'!$T:$T&lt;&gt;"")),'0731 4度C'!$T:$T)</f>
        <v>0.58333333333333326</v>
      </c>
      <c r="L17" s="71">
        <f>LOOKUP(2,1/(('0731 4度C'!$A:$A="新豐9線")*('0731 4度C'!$T:$T&lt;&gt;"")),'0731 4度C'!$T:$T)</f>
        <v>0.48055555555555551</v>
      </c>
      <c r="M17" s="72">
        <f>LOOKUP(2,1/(('0731 4度C'!$A:$A="新豐4線")*('0731 4度C'!$T:$T&lt;&gt;"")),'0731 4度C'!$T:$T)</f>
        <v>0.6368055555555554</v>
      </c>
    </row>
    <row r="18" spans="2:13" ht="17.25" customHeight="1">
      <c r="B18" s="544" t="s">
        <v>2706</v>
      </c>
      <c r="C18" s="76" t="s">
        <v>2707</v>
      </c>
      <c r="D18" s="77">
        <f>SUMIFS('0731 4度C'!$Y:$Y,'0731 4度C'!$A:$A,"新豐6線",'0731 4度C'!$B:$B,"平均")</f>
        <v>0</v>
      </c>
      <c r="E18" s="78">
        <f>SUMIFS('0731 4度C'!$Y:$Y,'0731 4度C'!$A:$A,"新豐2線",'0731 4度C'!$B:$B,"平均")</f>
        <v>0</v>
      </c>
      <c r="F18" s="78">
        <f>SUMIFS('0731 4度C'!$Y:$Y,'0731 4度C'!$A:$A,"新豐5線",'0731 4度C'!$B:$B,"平均")</f>
        <v>0</v>
      </c>
      <c r="G18" s="78">
        <f>SUMIFS('0731 4度C'!$Y:$Y,'0731 4度C'!$A:$A,"新豐7線",'0731 4度C'!$B:$B,"平均")</f>
        <v>0</v>
      </c>
      <c r="H18" s="78">
        <f>SUMIFS('0731 4度C'!$Y:$Y,'0731 4度C'!$A:$A,"新豐3線",'0731 4度C'!$B:$B,"平均")</f>
        <v>0</v>
      </c>
      <c r="I18" s="78">
        <f>SUMIFS('0731 4度C'!$Y:$Y,'0731 4度C'!$A:$A,"新豐1線",'0731 4度C'!$B:$B,"平均")</f>
        <v>0</v>
      </c>
      <c r="J18" s="79">
        <f>SUMIFS('0731 4度C'!$Y:$Y,'0731 4度C'!$A:$A,"新豐10線",'0731 4度C'!$B:$B,"平均")</f>
        <v>0</v>
      </c>
      <c r="K18" s="80">
        <f>SUMIFS('0731 4度C'!$Y:$Y,'0731 4度C'!$A:$A,"新豐8線",'0731 4度C'!$B:$B,"平均")</f>
        <v>0</v>
      </c>
      <c r="L18" s="78">
        <f>SUMIFS('0731 4度C'!$Y:$Y,'0731 4度C'!$A:$A,"新豐9線",'0731 4度C'!$B:$B,"平均")</f>
        <v>0</v>
      </c>
      <c r="M18" s="79">
        <f>SUMIFS('0731 4度C'!$Y:$Y,'0731 4度C'!$A:$A,"新豐4線",'0731 4度C'!$B:$B,"平均")</f>
        <v>0</v>
      </c>
    </row>
    <row r="19" spans="2:13" ht="17.25" customHeight="1">
      <c r="B19" s="545"/>
      <c r="C19" s="76" t="s">
        <v>2708</v>
      </c>
      <c r="D19" s="77">
        <f>SUMIFS('0731 4度C'!$Z:$Z,'0731 4度C'!$A:$A,"新豐6線",'0731 4度C'!$B:$B,"平均")</f>
        <v>0</v>
      </c>
      <c r="E19" s="78">
        <f>SUMIFS('0731 4度C'!$Z:$Z,'0731 4度C'!$A:$A,"新豐2線",'0731 4度C'!$B:$B,"平均")</f>
        <v>0</v>
      </c>
      <c r="F19" s="78">
        <f>SUMIFS('0731 4度C'!$Z:$Z,'0731 4度C'!$A:$A,"新豐5線",'0731 4度C'!$B:$B,"平均")</f>
        <v>0</v>
      </c>
      <c r="G19" s="78">
        <f>SUMIFS('0731 4度C'!$Z:$Z,'0731 4度C'!$A:$A,"新豐7線",'0731 4度C'!$B:$B,"平均")</f>
        <v>0</v>
      </c>
      <c r="H19" s="78">
        <f>SUMIFS('0731 4度C'!$Z:$Z,'0731 4度C'!$A:$A,"新豐3線",'0731 4度C'!$B:$B,"平均")</f>
        <v>0</v>
      </c>
      <c r="I19" s="78">
        <f>SUMIFS('0731 4度C'!$Z:$Z,'0731 4度C'!$A:$A,"新豐1線",'0731 4度C'!$B:$B,"平均")</f>
        <v>0</v>
      </c>
      <c r="J19" s="79">
        <f>SUMIFS('0731 4度C'!$Z:$Z,'0731 4度C'!$A:$A,"新豐10線",'0731 4度C'!$B:$B,"平均")</f>
        <v>0</v>
      </c>
      <c r="K19" s="80">
        <f>SUMIFS('0731 4度C'!$Z:$Z,'0731 4度C'!$A:$A,"新豐8線",'0731 4度C'!$B:$B,"平均")</f>
        <v>0</v>
      </c>
      <c r="L19" s="78">
        <f>SUMIFS('0731 4度C'!$Z:$Z,'0731 4度C'!$A:$A,"新豐9線",'0731 4度C'!$B:$B,"平均")</f>
        <v>0</v>
      </c>
      <c r="M19" s="79">
        <f>SUMIFS('0731 4度C'!$Z:$Z,'0731 4度C'!$A:$A,"新豐4線",'0731 4度C'!$B:$B,"平均")</f>
        <v>0</v>
      </c>
    </row>
    <row r="20" spans="2:13" ht="17.25" customHeight="1">
      <c r="B20" s="544" t="s">
        <v>2709</v>
      </c>
      <c r="C20" s="76" t="s">
        <v>2707</v>
      </c>
      <c r="D20" s="77">
        <f>SUMIFS('0731 4度C'!$AC:$AC,'0731 4度C'!$A:$A,"新豐6線",'0731 4度C'!$B:$B,"平均")</f>
        <v>3</v>
      </c>
      <c r="E20" s="78">
        <f>SUMIFS('0731 4度C'!$AC:$AC,'0731 4度C'!$A:$A,"新豐2線",'0731 4度C'!$B:$B,"平均")</f>
        <v>4</v>
      </c>
      <c r="F20" s="78">
        <f>SUMIFS('0731 4度C'!$AC:$AC,'0731 4度C'!$A:$A,"新豐5線",'0731 4度C'!$B:$B,"平均")</f>
        <v>7</v>
      </c>
      <c r="G20" s="78">
        <f>SUMIFS('0731 4度C'!$AC:$AC,'0731 4度C'!$A:$A,"新豐7線",'0731 4度C'!$B:$B,"平均")</f>
        <v>6</v>
      </c>
      <c r="H20" s="78">
        <f>SUMIFS('0731 4度C'!$AC:$AC,'0731 4度C'!$A:$A,"新豐3線",'0731 4度C'!$B:$B,"平均")</f>
        <v>4</v>
      </c>
      <c r="I20" s="78">
        <f>SUMIFS('0731 4度C'!$AC:$AC,'0731 4度C'!$A:$A,"新豐1線",'0731 4度C'!$B:$B,"平均")</f>
        <v>9</v>
      </c>
      <c r="J20" s="79">
        <f>SUMIFS('0731 4度C'!$AC:$AC,'0731 4度C'!$A:$A,"新豐10線",'0731 4度C'!$B:$B,"平均")</f>
        <v>4</v>
      </c>
      <c r="K20" s="80">
        <f>SUMIFS('0731 4度C'!$AC:$AC,'0731 4度C'!$A:$A,"新豐8線",'0731 4度C'!$B:$B,"平均")</f>
        <v>7</v>
      </c>
      <c r="L20" s="78">
        <f>SUMIFS('0731 4度C'!$AC:$AC,'0731 4度C'!$A:$A,"新豐9線",'0731 4度C'!$B:$B,"平均")</f>
        <v>4</v>
      </c>
      <c r="M20" s="79">
        <f>SUMIFS('0731 4度C'!$AC:$AC,'0731 4度C'!$A:$A,"新豐4線",'0731 4度C'!$B:$B,"平均")</f>
        <v>7</v>
      </c>
    </row>
    <row r="21" spans="2:13" ht="17.25" customHeight="1">
      <c r="B21" s="545"/>
      <c r="C21" s="76" t="s">
        <v>2710</v>
      </c>
      <c r="D21" s="77">
        <f>SUMIFS('0731 4度C'!$AD:$AD,'0731 4度C'!$A:$A,"新豐6線",'0731 4度C'!$B:$B,"平均")</f>
        <v>0</v>
      </c>
      <c r="E21" s="78">
        <f>SUMIFS('0731 4度C'!$AD:$AD,'0731 4度C'!$A:$A,"新豐2線",'0731 4度C'!$B:$B,"平均")</f>
        <v>0</v>
      </c>
      <c r="F21" s="78">
        <f>SUMIFS('0731 4度C'!$AD:$AD,'0731 4度C'!$A:$A,"新豐5線",'0731 4度C'!$B:$B,"平均")</f>
        <v>0</v>
      </c>
      <c r="G21" s="78">
        <f>SUMIFS('0731 4度C'!$AD:$AD,'0731 4度C'!$A:$A,"新豐7線",'0731 4度C'!$B:$B,"平均")</f>
        <v>0</v>
      </c>
      <c r="H21" s="78">
        <f>SUMIFS('0731 4度C'!$AD:$AD,'0731 4度C'!$A:$A,"新豐3線",'0731 4度C'!$B:$B,"平均")</f>
        <v>0</v>
      </c>
      <c r="I21" s="78">
        <f>SUMIFS('0731 4度C'!$AD:$AD,'0731 4度C'!$A:$A,"新豐1線",'0731 4度C'!$B:$B,"平均")</f>
        <v>0</v>
      </c>
      <c r="J21" s="79">
        <f>SUMIFS('0731 4度C'!$AD:$AD,'0731 4度C'!$A:$A,"新豐10線",'0731 4度C'!$B:$B,"平均")</f>
        <v>0</v>
      </c>
      <c r="K21" s="80">
        <f>SUMIFS('0731 4度C'!$AD:$AD,'0731 4度C'!$A:$A,"新豐8線",'0731 4度C'!$B:$B,"平均")</f>
        <v>0</v>
      </c>
      <c r="L21" s="78">
        <f>SUMIFS('0731 4度C'!$AD:$AD,'0731 4度C'!$A:$A,"新豐9線",'0731 4度C'!$B:$B,"平均")</f>
        <v>0</v>
      </c>
      <c r="M21" s="79">
        <f>SUMIFS('0731 4度C'!$AD:$AD,'0731 4度C'!$A:$A,"新豐4線",'0731 4度C'!$B:$B,"平均")</f>
        <v>0</v>
      </c>
    </row>
    <row r="22" spans="2:13" ht="17.25" customHeight="1">
      <c r="B22" s="546" t="s">
        <v>2711</v>
      </c>
      <c r="C22" s="547"/>
      <c r="D22" s="81">
        <f>SUMIFS('0731 4度C'!$I:$I,'0731 4度C'!$A:$A,"新豐6線",'0731 4度C'!$B:$B,"平均")</f>
        <v>15.333333333333334</v>
      </c>
      <c r="E22" s="82">
        <f>SUMIFS('0731 4度C'!$I:$I,'0731 4度C'!$A:$A,"新豐2線",'0731 4度C'!$B:$B,"平均")</f>
        <v>17.5</v>
      </c>
      <c r="F22" s="82">
        <f>SUMIFS('0731 4度C'!$I:$I,'0731 4度C'!$A:$A,"新豐5線",'0731 4度C'!$B:$B,"平均")</f>
        <v>18.428571428571427</v>
      </c>
      <c r="G22" s="82">
        <f>SUMIFS('0731 4度C'!$I:$I,'0731 4度C'!$A:$A,"新豐7線",'0731 4度C'!$B:$B,"平均")</f>
        <v>15.666666666666666</v>
      </c>
      <c r="H22" s="82">
        <f>SUMIFS('0731 4度C'!$I:$I,'0731 4度C'!$A:$A,"新豐3線",'0731 4度C'!$B:$B,"平均")</f>
        <v>9.25</v>
      </c>
      <c r="I22" s="82">
        <f>SUMIFS('0731 4度C'!$I:$I,'0731 4度C'!$A:$A,"新豐1線",'0731 4度C'!$B:$B,"平均")</f>
        <v>17.777777777777779</v>
      </c>
      <c r="J22" s="83">
        <f>SUMIFS('0731 4度C'!$I:$I,'0731 4度C'!$A:$A,"新豐10線",'0731 4度C'!$B:$B,"平均")</f>
        <v>10.25</v>
      </c>
      <c r="K22" s="81">
        <f>SUMIFS('0731 4度C'!$I:$I,'0731 4度C'!$A:$A,"新豐8線",'0731 4度C'!$B:$B,"平均")</f>
        <v>17.428571428571427</v>
      </c>
      <c r="L22" s="82">
        <f>SUMIFS('0731 4度C'!$I:$I,'0731 4度C'!$A:$A,"新豐9線",'0731 4度C'!$B:$B,"平均")</f>
        <v>17.75</v>
      </c>
      <c r="M22" s="83">
        <f>SUMIFS('0731 4度C'!$I:$I,'0731 4度C'!$A:$A,"新豐4線",'0731 4度C'!$B:$B,"平均")</f>
        <v>16.142857142857142</v>
      </c>
    </row>
    <row r="23" spans="2:13" ht="17.25" customHeight="1">
      <c r="B23" s="546" t="s">
        <v>2712</v>
      </c>
      <c r="C23" s="547"/>
      <c r="D23" s="84" t="s">
        <v>54</v>
      </c>
      <c r="E23" s="85" t="s">
        <v>55</v>
      </c>
      <c r="F23" s="85" t="s">
        <v>2713</v>
      </c>
      <c r="G23" s="85" t="s">
        <v>2713</v>
      </c>
      <c r="H23" s="85" t="s">
        <v>56</v>
      </c>
      <c r="I23" s="85" t="s">
        <v>54</v>
      </c>
      <c r="J23" s="86" t="s">
        <v>56</v>
      </c>
      <c r="K23" s="84" t="s">
        <v>2714</v>
      </c>
      <c r="L23" s="85" t="s">
        <v>2714</v>
      </c>
      <c r="M23" s="86" t="s">
        <v>2714</v>
      </c>
    </row>
    <row r="24" spans="2:13" ht="17.25" customHeight="1">
      <c r="B24" s="546" t="s">
        <v>2715</v>
      </c>
      <c r="C24" s="547"/>
      <c r="D24" s="84"/>
      <c r="E24" s="85"/>
      <c r="F24" s="85" t="s">
        <v>2716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2717</v>
      </c>
      <c r="C25" s="549"/>
      <c r="D25" s="87"/>
      <c r="E25" s="88" t="s">
        <v>2718</v>
      </c>
      <c r="F25" s="542" t="s">
        <v>2719</v>
      </c>
      <c r="G25" s="543"/>
      <c r="H25" s="88" t="s">
        <v>2720</v>
      </c>
      <c r="I25" s="88" t="s">
        <v>2721</v>
      </c>
      <c r="J25" s="89" t="s">
        <v>2720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zoomScale="80" zoomScaleNormal="80" workbookViewId="0">
      <pane ySplit="4" topLeftCell="A45" activePane="bottomLeft" state="frozen"/>
      <selection activeCell="D10" sqref="D10:J10"/>
      <selection pane="bottomLeft" activeCell="D10" sqref="D10:J10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422</v>
      </c>
      <c r="D1" s="3">
        <f>SUM(F5:F69)</f>
        <v>144931</v>
      </c>
      <c r="E1" s="533" t="s">
        <v>2722</v>
      </c>
      <c r="F1" s="1">
        <f>SUM(G5:G69)</f>
        <v>5031860.0000000009</v>
      </c>
      <c r="G1" s="1" t="s">
        <v>336</v>
      </c>
      <c r="H1" s="4">
        <f>L8+L13+L46+L56+L21+L61+L36+L41+L28+L69</f>
        <v>155.52777777777777</v>
      </c>
      <c r="I1" s="654" t="s">
        <v>337</v>
      </c>
      <c r="J1" s="654"/>
      <c r="K1" s="654"/>
      <c r="L1" s="654" t="s">
        <v>2723</v>
      </c>
      <c r="M1" s="654"/>
      <c r="N1" s="654"/>
      <c r="O1" s="654" t="s">
        <v>243</v>
      </c>
      <c r="P1" s="654"/>
      <c r="Q1" s="654"/>
      <c r="R1" s="654"/>
      <c r="S1" s="654" t="s">
        <v>2724</v>
      </c>
      <c r="T1" s="654"/>
      <c r="U1" s="654"/>
      <c r="V1" s="654"/>
      <c r="W1" s="654"/>
      <c r="X1" s="654"/>
      <c r="Y1" s="5" t="s">
        <v>2725</v>
      </c>
      <c r="Z1" s="6" t="s">
        <v>429</v>
      </c>
      <c r="AA1" s="655" t="s">
        <v>343</v>
      </c>
      <c r="AB1" s="655"/>
      <c r="AC1" s="134" t="s">
        <v>245</v>
      </c>
      <c r="AD1" s="6" t="s">
        <v>248</v>
      </c>
      <c r="AE1" s="654" t="s">
        <v>2726</v>
      </c>
      <c r="AF1" s="656"/>
      <c r="AG1" s="656"/>
    </row>
    <row r="2" spans="1:33" ht="26.25" customHeight="1">
      <c r="A2" s="25">
        <v>46234</v>
      </c>
      <c r="B2" s="26" t="s">
        <v>346</v>
      </c>
      <c r="C2" s="2" t="s">
        <v>251</v>
      </c>
      <c r="D2" s="8">
        <f>AVERAGE(N8,N13,N46,N56,N21,N61,N28,N36,N41,N69)</f>
        <v>151.29095273106242</v>
      </c>
      <c r="E2" s="9" t="s">
        <v>0</v>
      </c>
      <c r="F2" s="10">
        <f>F1/D1</f>
        <v>34.719004215799252</v>
      </c>
      <c r="G2" s="1" t="s">
        <v>434</v>
      </c>
      <c r="H2" s="541">
        <f>COUNT(H5:H69)</f>
        <v>2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SUM(Y8+Y13+Y21+Y28+Y36+Y41+Y46+Y56+Y61+Y69)</f>
        <v>0</v>
      </c>
      <c r="Z2" s="11">
        <f>SUM(Z8+Z13+Z21+Z28+Z36+Z41+Z46+Z56+Z61+Z69)</f>
        <v>0</v>
      </c>
      <c r="AA2" s="655"/>
      <c r="AB2" s="655"/>
      <c r="AC2" s="135">
        <v>55</v>
      </c>
      <c r="AD2" s="11">
        <f>SUM(AD8+AD13+AD21+AD28+AD36+AD41+AD46+AD56+AD61+AD69)</f>
        <v>0</v>
      </c>
      <c r="AE2" s="656"/>
      <c r="AF2" s="656"/>
      <c r="AG2" s="656"/>
    </row>
    <row r="3" spans="1:33" ht="40.5" customHeight="1">
      <c r="A3" s="612" t="s">
        <v>2727</v>
      </c>
      <c r="B3" s="612" t="s">
        <v>253</v>
      </c>
      <c r="C3" s="612" t="s">
        <v>254</v>
      </c>
      <c r="D3" s="612"/>
      <c r="E3" s="652" t="s">
        <v>438</v>
      </c>
      <c r="F3" s="612" t="s">
        <v>352</v>
      </c>
      <c r="G3" s="652" t="s">
        <v>256</v>
      </c>
      <c r="H3" s="645" t="s">
        <v>257</v>
      </c>
      <c r="I3" s="644" t="s">
        <v>442</v>
      </c>
      <c r="J3" s="641" t="s">
        <v>264</v>
      </c>
      <c r="K3" s="650" t="s">
        <v>251</v>
      </c>
      <c r="L3" s="644" t="s">
        <v>442</v>
      </c>
      <c r="M3" s="641" t="s">
        <v>264</v>
      </c>
      <c r="N3" s="650" t="s">
        <v>251</v>
      </c>
      <c r="O3" s="644" t="s">
        <v>442</v>
      </c>
      <c r="P3" s="650" t="s">
        <v>251</v>
      </c>
      <c r="Q3" s="642" t="s">
        <v>258</v>
      </c>
      <c r="R3" s="621" t="s">
        <v>266</v>
      </c>
      <c r="S3" s="651" t="s">
        <v>1</v>
      </c>
      <c r="T3" s="651"/>
      <c r="U3" s="645" t="s">
        <v>2</v>
      </c>
      <c r="V3" s="645" t="s">
        <v>2728</v>
      </c>
      <c r="W3" s="612" t="s">
        <v>2729</v>
      </c>
      <c r="X3" s="612"/>
      <c r="Y3" s="646" t="s">
        <v>2730</v>
      </c>
      <c r="Z3" s="611"/>
      <c r="AA3" s="647" t="s">
        <v>2731</v>
      </c>
      <c r="AB3" s="648"/>
      <c r="AC3" s="646" t="s">
        <v>2732</v>
      </c>
      <c r="AD3" s="611"/>
      <c r="AE3" s="641" t="s">
        <v>2733</v>
      </c>
      <c r="AF3" s="642" t="s">
        <v>2734</v>
      </c>
      <c r="AG3" s="621" t="s">
        <v>2735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540" t="s">
        <v>3</v>
      </c>
      <c r="T4" s="540" t="s">
        <v>4</v>
      </c>
      <c r="U4" s="645"/>
      <c r="V4" s="645"/>
      <c r="W4" s="533" t="s">
        <v>2736</v>
      </c>
      <c r="X4" s="533" t="s">
        <v>2737</v>
      </c>
      <c r="Y4" s="532" t="s">
        <v>2738</v>
      </c>
      <c r="Z4" s="532" t="s">
        <v>2739</v>
      </c>
      <c r="AA4" s="649"/>
      <c r="AB4" s="648"/>
      <c r="AC4" s="532" t="s">
        <v>2740</v>
      </c>
      <c r="AD4" s="532" t="s">
        <v>2741</v>
      </c>
      <c r="AE4" s="641"/>
      <c r="AF4" s="642"/>
      <c r="AG4" s="621"/>
    </row>
    <row r="5" spans="1:33">
      <c r="A5" s="643" t="s">
        <v>2742</v>
      </c>
      <c r="B5" s="27" t="s">
        <v>5</v>
      </c>
      <c r="C5" s="657" t="s">
        <v>14</v>
      </c>
      <c r="D5" s="657"/>
      <c r="E5" s="27">
        <v>50.92</v>
      </c>
      <c r="F5" s="540">
        <v>1631</v>
      </c>
      <c r="G5" s="533">
        <f t="shared" ref="G5:G7" si="0">E5*F5</f>
        <v>83050.52</v>
      </c>
      <c r="H5" s="31" t="s">
        <v>40</v>
      </c>
      <c r="I5" s="538">
        <v>15</v>
      </c>
      <c r="J5" s="29">
        <v>2000</v>
      </c>
      <c r="K5" s="12">
        <f t="shared" ref="K5:K68" si="1">J5/I5</f>
        <v>133.33333333333334</v>
      </c>
      <c r="L5" s="538">
        <v>15</v>
      </c>
      <c r="M5" s="13">
        <f t="shared" ref="M5:M7" si="2">F5/V5*60</f>
        <v>1918.8235294117655</v>
      </c>
      <c r="N5" s="12">
        <f t="shared" ref="N5:N68" si="3">M5/L5</f>
        <v>127.92156862745104</v>
      </c>
      <c r="O5" s="14">
        <f t="shared" ref="O5:O68" si="4">L5-I5</f>
        <v>0</v>
      </c>
      <c r="P5" s="15">
        <f t="shared" ref="P5:P68" si="5">N5-K5</f>
        <v>-5.4117647058823053</v>
      </c>
      <c r="Q5" s="534">
        <f t="shared" ref="Q5:Q68" si="6">N5/K5</f>
        <v>0.95941176470588274</v>
      </c>
      <c r="R5" s="616">
        <f>Q8</f>
        <v>0.9651664215686272</v>
      </c>
      <c r="S5" s="32">
        <v>0.70833333333333337</v>
      </c>
      <c r="T5" s="32">
        <v>0.74375000000000002</v>
      </c>
      <c r="U5" s="533"/>
      <c r="V5" s="539">
        <f t="shared" ref="V5:V7" si="7">(T5-S5)*24*60</f>
        <v>50.999999999999979</v>
      </c>
      <c r="W5" s="16"/>
      <c r="X5" s="16"/>
      <c r="Y5" s="17"/>
      <c r="Z5" s="17"/>
      <c r="AA5" s="612"/>
      <c r="AB5" s="612"/>
      <c r="AC5" s="136">
        <v>3</v>
      </c>
      <c r="AD5" s="18"/>
      <c r="AE5" s="14">
        <f t="shared" ref="AE5:AE55" si="8">M5-J5</f>
        <v>-81.176470588234451</v>
      </c>
      <c r="AF5" s="534">
        <f t="shared" ref="AF5:AF68" si="9">M5/J5</f>
        <v>0.95941176470588274</v>
      </c>
      <c r="AG5" s="616">
        <f>AF8</f>
        <v>0.9651664215686272</v>
      </c>
    </row>
    <row r="6" spans="1:33">
      <c r="A6" s="644" t="s">
        <v>274</v>
      </c>
      <c r="B6" s="27" t="s">
        <v>5</v>
      </c>
      <c r="C6" s="657" t="s">
        <v>19</v>
      </c>
      <c r="D6" s="657"/>
      <c r="E6" s="27">
        <v>50.98</v>
      </c>
      <c r="F6" s="540">
        <v>1619</v>
      </c>
      <c r="G6" s="533">
        <f t="shared" si="0"/>
        <v>82536.62</v>
      </c>
      <c r="H6" s="31" t="s">
        <v>40</v>
      </c>
      <c r="I6" s="538">
        <v>16</v>
      </c>
      <c r="J6" s="29">
        <v>2000</v>
      </c>
      <c r="K6" s="12">
        <f t="shared" si="1"/>
        <v>125</v>
      </c>
      <c r="L6" s="538">
        <v>16</v>
      </c>
      <c r="M6" s="13">
        <f t="shared" si="2"/>
        <v>1942.8000000000006</v>
      </c>
      <c r="N6" s="12">
        <f t="shared" si="3"/>
        <v>121.42500000000004</v>
      </c>
      <c r="O6" s="14">
        <f t="shared" si="4"/>
        <v>0</v>
      </c>
      <c r="P6" s="15">
        <f t="shared" si="5"/>
        <v>-3.5749999999999602</v>
      </c>
      <c r="Q6" s="534">
        <f t="shared" si="6"/>
        <v>0.97140000000000026</v>
      </c>
      <c r="R6" s="616"/>
      <c r="S6" s="32">
        <v>0.74930555555555556</v>
      </c>
      <c r="T6" s="32">
        <v>0.78402777777777777</v>
      </c>
      <c r="U6" s="533">
        <f t="shared" ref="U6:U7" si="10">IF(S6=TIME(17,0,0),"",(S6-T5)*24*60)</f>
        <v>7.9999999999999716</v>
      </c>
      <c r="V6" s="539">
        <f t="shared" si="7"/>
        <v>49.999999999999986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-57.199999999999363</v>
      </c>
      <c r="AF6" s="534">
        <f t="shared" si="9"/>
        <v>0.97140000000000026</v>
      </c>
      <c r="AG6" s="616"/>
    </row>
    <row r="7" spans="1:33">
      <c r="A7" s="644" t="s">
        <v>274</v>
      </c>
      <c r="B7" s="27" t="s">
        <v>5</v>
      </c>
      <c r="C7" s="638" t="s">
        <v>7</v>
      </c>
      <c r="D7" s="639"/>
      <c r="E7" s="27">
        <v>50.67</v>
      </c>
      <c r="F7" s="540">
        <v>1029</v>
      </c>
      <c r="G7" s="533">
        <f t="shared" si="0"/>
        <v>52139.43</v>
      </c>
      <c r="H7" s="31" t="s">
        <v>40</v>
      </c>
      <c r="I7" s="538">
        <v>15</v>
      </c>
      <c r="J7" s="29">
        <v>2000</v>
      </c>
      <c r="K7" s="12">
        <f t="shared" si="1"/>
        <v>133.33333333333334</v>
      </c>
      <c r="L7" s="538">
        <v>15</v>
      </c>
      <c r="M7" s="13">
        <f t="shared" si="2"/>
        <v>1929.3749999999975</v>
      </c>
      <c r="N7" s="12">
        <f t="shared" si="3"/>
        <v>128.62499999999983</v>
      </c>
      <c r="O7" s="14">
        <f t="shared" si="4"/>
        <v>0</v>
      </c>
      <c r="P7" s="15">
        <f t="shared" si="5"/>
        <v>-4.7083333333335133</v>
      </c>
      <c r="Q7" s="534">
        <f t="shared" si="6"/>
        <v>0.9646874999999987</v>
      </c>
      <c r="R7" s="616"/>
      <c r="S7" s="32">
        <v>0.78819444444444442</v>
      </c>
      <c r="T7" s="32">
        <v>0.81041666666666667</v>
      </c>
      <c r="U7" s="533">
        <f t="shared" si="10"/>
        <v>5.9999999999999787</v>
      </c>
      <c r="V7" s="539">
        <f t="shared" si="7"/>
        <v>32.000000000000043</v>
      </c>
      <c r="W7" s="16"/>
      <c r="X7" s="16"/>
      <c r="Y7" s="19"/>
      <c r="Z7" s="19"/>
      <c r="AA7" s="607"/>
      <c r="AB7" s="608"/>
      <c r="AC7" s="136"/>
      <c r="AD7" s="267"/>
      <c r="AE7" s="14">
        <f t="shared" si="8"/>
        <v>-70.625000000002501</v>
      </c>
      <c r="AF7" s="534">
        <f t="shared" si="9"/>
        <v>0.9646874999999987</v>
      </c>
      <c r="AG7" s="616"/>
    </row>
    <row r="8" spans="1:33">
      <c r="A8" s="644" t="s">
        <v>274</v>
      </c>
      <c r="B8" s="27" t="s">
        <v>275</v>
      </c>
      <c r="C8" s="658"/>
      <c r="D8" s="658"/>
      <c r="E8" s="535"/>
      <c r="F8" s="28"/>
      <c r="G8" s="12"/>
      <c r="H8" s="540"/>
      <c r="I8" s="21">
        <v>15.333333333333334</v>
      </c>
      <c r="J8" s="29">
        <v>2000</v>
      </c>
      <c r="K8" s="12">
        <f t="shared" si="1"/>
        <v>130.43478260869566</v>
      </c>
      <c r="L8" s="21">
        <v>15.333333333333334</v>
      </c>
      <c r="M8" s="13">
        <f>AVERAGE(M5:M7)</f>
        <v>1930.3328431372545</v>
      </c>
      <c r="N8" s="12">
        <f t="shared" si="3"/>
        <v>125.89127237851659</v>
      </c>
      <c r="O8" s="14">
        <f t="shared" si="4"/>
        <v>0</v>
      </c>
      <c r="P8" s="15">
        <f t="shared" si="5"/>
        <v>-4.5435102301790664</v>
      </c>
      <c r="Q8" s="534">
        <f t="shared" si="6"/>
        <v>0.9651664215686272</v>
      </c>
      <c r="R8" s="616"/>
      <c r="S8" s="32"/>
      <c r="T8" s="32"/>
      <c r="U8" s="533"/>
      <c r="V8" s="539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-69.667156862745514</v>
      </c>
      <c r="AF8" s="534">
        <f t="shared" si="9"/>
        <v>0.9651664215686272</v>
      </c>
      <c r="AG8" s="616"/>
    </row>
    <row r="9" spans="1:33" ht="15.75" customHeight="1">
      <c r="A9" s="640" t="s">
        <v>276</v>
      </c>
      <c r="B9" s="27" t="s">
        <v>8</v>
      </c>
      <c r="C9" s="638" t="s">
        <v>10</v>
      </c>
      <c r="D9" s="639"/>
      <c r="E9" s="27">
        <v>39.799999999999997</v>
      </c>
      <c r="F9" s="540">
        <v>5213</v>
      </c>
      <c r="G9" s="533">
        <f t="shared" ref="G9:G12" si="11">E9*F9</f>
        <v>207477.4</v>
      </c>
      <c r="H9" s="31" t="s">
        <v>40</v>
      </c>
      <c r="I9" s="538">
        <v>17</v>
      </c>
      <c r="J9" s="29">
        <v>1500</v>
      </c>
      <c r="K9" s="12">
        <f t="shared" si="1"/>
        <v>88.235294117647058</v>
      </c>
      <c r="L9" s="538">
        <v>17</v>
      </c>
      <c r="M9" s="13">
        <f t="shared" ref="M9:M12" si="12">F9/V9*60</f>
        <v>1434.7706422018346</v>
      </c>
      <c r="N9" s="12">
        <f t="shared" si="3"/>
        <v>84.398273070696149</v>
      </c>
      <c r="O9" s="14">
        <f t="shared" si="4"/>
        <v>0</v>
      </c>
      <c r="P9" s="15">
        <f t="shared" si="5"/>
        <v>-3.837021046950909</v>
      </c>
      <c r="Q9" s="534">
        <f t="shared" si="6"/>
        <v>0.95651376146788969</v>
      </c>
      <c r="R9" s="616">
        <f>Q13</f>
        <v>0.9572070693992305</v>
      </c>
      <c r="S9" s="32">
        <v>8.3333333333333329E-2</v>
      </c>
      <c r="T9" s="32">
        <v>0.23472222222222222</v>
      </c>
      <c r="U9" s="533"/>
      <c r="V9" s="539">
        <f t="shared" ref="V9:V12" si="13">(T9-S9)*24*60</f>
        <v>218.00000000000003</v>
      </c>
      <c r="W9" s="16">
        <f>T9</f>
        <v>0.23472222222222222</v>
      </c>
      <c r="X9" s="16">
        <f>S10</f>
        <v>0.25486111111111109</v>
      </c>
      <c r="Y9" s="16"/>
      <c r="Z9" s="16"/>
      <c r="AA9" s="612"/>
      <c r="AB9" s="612"/>
      <c r="AC9" s="136">
        <v>4</v>
      </c>
      <c r="AD9" s="18"/>
      <c r="AE9" s="14">
        <f t="shared" si="8"/>
        <v>-65.229357798165438</v>
      </c>
      <c r="AF9" s="534">
        <f t="shared" si="9"/>
        <v>0.95651376146788969</v>
      </c>
      <c r="AG9" s="616">
        <f>AF13</f>
        <v>0.9572070693992305</v>
      </c>
    </row>
    <row r="10" spans="1:33" ht="15.75" customHeight="1">
      <c r="A10" s="640" t="s">
        <v>276</v>
      </c>
      <c r="B10" s="27" t="s">
        <v>8</v>
      </c>
      <c r="C10" s="638" t="s">
        <v>63</v>
      </c>
      <c r="D10" s="639"/>
      <c r="E10" s="27">
        <v>39.46</v>
      </c>
      <c r="F10" s="540">
        <v>2301</v>
      </c>
      <c r="G10" s="533">
        <f t="shared" si="11"/>
        <v>90797.46</v>
      </c>
      <c r="H10" s="31" t="s">
        <v>40</v>
      </c>
      <c r="I10" s="538">
        <v>15</v>
      </c>
      <c r="J10" s="29">
        <v>1500</v>
      </c>
      <c r="K10" s="12">
        <f t="shared" si="1"/>
        <v>100</v>
      </c>
      <c r="L10" s="538">
        <v>15</v>
      </c>
      <c r="M10" s="13">
        <f t="shared" si="12"/>
        <v>1438.1250000000005</v>
      </c>
      <c r="N10" s="12">
        <f t="shared" si="3"/>
        <v>95.875000000000028</v>
      </c>
      <c r="O10" s="14">
        <f t="shared" si="4"/>
        <v>0</v>
      </c>
      <c r="P10" s="15">
        <f t="shared" si="5"/>
        <v>-4.1249999999999716</v>
      </c>
      <c r="Q10" s="534">
        <f t="shared" si="6"/>
        <v>0.95875000000000032</v>
      </c>
      <c r="R10" s="616"/>
      <c r="S10" s="32">
        <v>0.25486111111111109</v>
      </c>
      <c r="T10" s="32">
        <v>0.32152777777777775</v>
      </c>
      <c r="U10" s="533">
        <f t="shared" ref="U10:U12" si="14">IF(S10=TIME(17,0,0),"",(S10-T9)*24*60)</f>
        <v>28.999999999999979</v>
      </c>
      <c r="V10" s="539">
        <f t="shared" si="13"/>
        <v>95.999999999999972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-61.874999999999545</v>
      </c>
      <c r="AF10" s="534">
        <f t="shared" si="9"/>
        <v>0.95875000000000032</v>
      </c>
      <c r="AG10" s="616"/>
    </row>
    <row r="11" spans="1:33" ht="15.75" customHeight="1">
      <c r="A11" s="640" t="s">
        <v>276</v>
      </c>
      <c r="B11" s="27" t="s">
        <v>8</v>
      </c>
      <c r="C11" s="638" t="s">
        <v>74</v>
      </c>
      <c r="D11" s="639"/>
      <c r="E11" s="27">
        <v>39.520000000000003</v>
      </c>
      <c r="F11" s="540">
        <v>1919</v>
      </c>
      <c r="G11" s="533">
        <f t="shared" si="11"/>
        <v>75838.880000000005</v>
      </c>
      <c r="H11" s="31" t="s">
        <v>40</v>
      </c>
      <c r="I11" s="538">
        <v>19</v>
      </c>
      <c r="J11" s="29">
        <v>1500</v>
      </c>
      <c r="K11" s="12">
        <f t="shared" si="1"/>
        <v>78.94736842105263</v>
      </c>
      <c r="L11" s="538">
        <v>19</v>
      </c>
      <c r="M11" s="13">
        <f t="shared" si="12"/>
        <v>1439.2499999999993</v>
      </c>
      <c r="N11" s="12">
        <f t="shared" si="3"/>
        <v>75.749999999999957</v>
      </c>
      <c r="O11" s="14">
        <f t="shared" si="4"/>
        <v>0</v>
      </c>
      <c r="P11" s="15">
        <f t="shared" si="5"/>
        <v>-3.1973684210526727</v>
      </c>
      <c r="Q11" s="534">
        <f t="shared" si="6"/>
        <v>0.95949999999999946</v>
      </c>
      <c r="R11" s="616"/>
      <c r="S11" s="32">
        <v>0.3256944444444444</v>
      </c>
      <c r="T11" s="32">
        <v>0.38124999999999998</v>
      </c>
      <c r="U11" s="533">
        <f t="shared" si="14"/>
        <v>5.9999999999999787</v>
      </c>
      <c r="V11" s="539">
        <f t="shared" si="13"/>
        <v>80.000000000000028</v>
      </c>
      <c r="W11" s="16"/>
      <c r="X11" s="16"/>
      <c r="Y11" s="16"/>
      <c r="Z11" s="16"/>
      <c r="AA11" s="612"/>
      <c r="AB11" s="612"/>
      <c r="AC11" s="136"/>
      <c r="AD11" s="18"/>
      <c r="AE11" s="14">
        <f t="shared" si="8"/>
        <v>-60.750000000000682</v>
      </c>
      <c r="AF11" s="534">
        <f t="shared" si="9"/>
        <v>0.95949999999999958</v>
      </c>
      <c r="AG11" s="616"/>
    </row>
    <row r="12" spans="1:33" ht="15.75" customHeight="1">
      <c r="A12" s="640" t="s">
        <v>276</v>
      </c>
      <c r="B12" s="27" t="s">
        <v>8</v>
      </c>
      <c r="C12" s="638" t="s">
        <v>9</v>
      </c>
      <c r="D12" s="639"/>
      <c r="E12" s="27">
        <v>39.619999999999997</v>
      </c>
      <c r="F12" s="540">
        <v>3697</v>
      </c>
      <c r="G12" s="533">
        <f t="shared" si="11"/>
        <v>146475.13999999998</v>
      </c>
      <c r="H12" s="31" t="s">
        <v>40</v>
      </c>
      <c r="I12" s="538">
        <v>19</v>
      </c>
      <c r="J12" s="29">
        <v>1500</v>
      </c>
      <c r="K12" s="12">
        <f t="shared" si="1"/>
        <v>78.94736842105263</v>
      </c>
      <c r="L12" s="538">
        <v>19</v>
      </c>
      <c r="M12" s="13">
        <f t="shared" si="12"/>
        <v>1431.0967741935483</v>
      </c>
      <c r="N12" s="12">
        <f t="shared" si="3"/>
        <v>75.320882852292016</v>
      </c>
      <c r="O12" s="14">
        <f t="shared" si="4"/>
        <v>0</v>
      </c>
      <c r="P12" s="15">
        <f t="shared" si="5"/>
        <v>-3.6264855687606143</v>
      </c>
      <c r="Q12" s="534">
        <f t="shared" si="6"/>
        <v>0.9540645161290322</v>
      </c>
      <c r="R12" s="616"/>
      <c r="S12" s="32">
        <v>0.38472222222222219</v>
      </c>
      <c r="T12" s="32">
        <v>0.49236111111111108</v>
      </c>
      <c r="U12" s="533">
        <f t="shared" si="14"/>
        <v>4.9999999999999822</v>
      </c>
      <c r="V12" s="539">
        <f t="shared" si="13"/>
        <v>155</v>
      </c>
      <c r="W12" s="16"/>
      <c r="X12" s="16"/>
      <c r="Y12" s="16"/>
      <c r="Z12" s="16"/>
      <c r="AA12" s="607"/>
      <c r="AB12" s="608"/>
      <c r="AC12" s="136"/>
      <c r="AD12" s="18"/>
      <c r="AE12" s="14">
        <f t="shared" si="8"/>
        <v>-68.903225806451701</v>
      </c>
      <c r="AF12" s="534">
        <f t="shared" si="9"/>
        <v>0.9540645161290322</v>
      </c>
      <c r="AG12" s="616"/>
    </row>
    <row r="13" spans="1:33" ht="16.5" customHeight="1">
      <c r="A13" s="640" t="s">
        <v>276</v>
      </c>
      <c r="B13" s="27" t="s">
        <v>275</v>
      </c>
      <c r="C13" s="658"/>
      <c r="D13" s="658"/>
      <c r="E13" s="535"/>
      <c r="F13" s="29"/>
      <c r="G13" s="13"/>
      <c r="H13" s="540"/>
      <c r="I13" s="21">
        <v>17.5</v>
      </c>
      <c r="J13" s="29">
        <v>1500</v>
      </c>
      <c r="K13" s="12">
        <f t="shared" si="1"/>
        <v>85.714285714285708</v>
      </c>
      <c r="L13" s="21">
        <v>17.5</v>
      </c>
      <c r="M13" s="13">
        <f>AVERAGE(M9:M12)</f>
        <v>1435.8106040988457</v>
      </c>
      <c r="N13" s="12">
        <f t="shared" si="3"/>
        <v>82.046320234219749</v>
      </c>
      <c r="O13" s="14">
        <f t="shared" si="4"/>
        <v>0</v>
      </c>
      <c r="P13" s="15">
        <f t="shared" si="5"/>
        <v>-3.6679654800659591</v>
      </c>
      <c r="Q13" s="534">
        <f t="shared" si="6"/>
        <v>0.9572070693992305</v>
      </c>
      <c r="R13" s="616"/>
      <c r="S13" s="32"/>
      <c r="T13" s="32"/>
      <c r="U13" s="12"/>
      <c r="V13" s="539"/>
      <c r="W13" s="12"/>
      <c r="X13" s="12"/>
      <c r="Y13" s="22">
        <f>SUM(Y9:Y12)</f>
        <v>0</v>
      </c>
      <c r="Z13" s="22">
        <f>SUM(Z9:Z12)</f>
        <v>0</v>
      </c>
      <c r="AA13" s="611"/>
      <c r="AB13" s="611"/>
      <c r="AC13" s="22">
        <v>4</v>
      </c>
      <c r="AD13" s="22">
        <f>SUM(AD9:AD12)</f>
        <v>0</v>
      </c>
      <c r="AE13" s="14">
        <f t="shared" si="8"/>
        <v>-64.189395901154285</v>
      </c>
      <c r="AF13" s="534">
        <f t="shared" si="9"/>
        <v>0.9572070693992305</v>
      </c>
      <c r="AG13" s="616"/>
    </row>
    <row r="14" spans="1:33" ht="16.5" customHeight="1">
      <c r="A14" s="636" t="s">
        <v>278</v>
      </c>
      <c r="B14" s="540" t="s">
        <v>1134</v>
      </c>
      <c r="C14" s="659" t="s">
        <v>1035</v>
      </c>
      <c r="D14" s="659"/>
      <c r="E14" s="27">
        <v>31.11</v>
      </c>
      <c r="F14" s="540">
        <v>3126</v>
      </c>
      <c r="G14" s="533">
        <f t="shared" ref="G14:G20" si="15">E14*F14</f>
        <v>97249.86</v>
      </c>
      <c r="H14" s="31" t="s">
        <v>40</v>
      </c>
      <c r="I14" s="538">
        <v>14</v>
      </c>
      <c r="J14" s="29">
        <v>2000</v>
      </c>
      <c r="K14" s="12">
        <f t="shared" si="1"/>
        <v>142.85714285714286</v>
      </c>
      <c r="L14" s="538">
        <v>14</v>
      </c>
      <c r="M14" s="13">
        <f t="shared" ref="M14:M20" si="16">F14/V14*60</f>
        <v>1913.877551020408</v>
      </c>
      <c r="N14" s="12">
        <f t="shared" si="3"/>
        <v>136.70553935860056</v>
      </c>
      <c r="O14" s="14">
        <f t="shared" si="4"/>
        <v>0</v>
      </c>
      <c r="P14" s="15">
        <f t="shared" si="5"/>
        <v>-6.1516034985423005</v>
      </c>
      <c r="Q14" s="534">
        <f t="shared" si="6"/>
        <v>0.9569387755102039</v>
      </c>
      <c r="R14" s="616">
        <f>Q21</f>
        <v>0.96097408593390754</v>
      </c>
      <c r="S14" s="32">
        <v>8.3333333333333329E-2</v>
      </c>
      <c r="T14" s="32">
        <v>0.15138888888888888</v>
      </c>
      <c r="U14" s="533"/>
      <c r="V14" s="539">
        <f t="shared" ref="V14:V20" si="17">(T14-S14)*24*60</f>
        <v>98</v>
      </c>
      <c r="W14" s="16">
        <f>T14</f>
        <v>0.15138888888888888</v>
      </c>
      <c r="X14" s="16">
        <f>S15</f>
        <v>0.17013888888888887</v>
      </c>
      <c r="Y14" s="20"/>
      <c r="Z14" s="20"/>
      <c r="AA14" s="612"/>
      <c r="AB14" s="612"/>
      <c r="AC14" s="136">
        <v>7</v>
      </c>
      <c r="AD14" s="18"/>
      <c r="AE14" s="14">
        <f t="shared" si="8"/>
        <v>-86.122448979592036</v>
      </c>
      <c r="AF14" s="534">
        <f t="shared" si="9"/>
        <v>0.95693877551020401</v>
      </c>
      <c r="AG14" s="616">
        <f>AF21</f>
        <v>0.96097408593390754</v>
      </c>
    </row>
    <row r="15" spans="1:33" ht="16.5" customHeight="1">
      <c r="A15" s="637" t="s">
        <v>278</v>
      </c>
      <c r="B15" s="540" t="s">
        <v>11</v>
      </c>
      <c r="C15" s="659" t="s">
        <v>67</v>
      </c>
      <c r="D15" s="659"/>
      <c r="E15" s="27">
        <v>38.619999999999997</v>
      </c>
      <c r="F15" s="540">
        <v>1862</v>
      </c>
      <c r="G15" s="533">
        <f t="shared" si="15"/>
        <v>71910.44</v>
      </c>
      <c r="H15" s="31" t="s">
        <v>40</v>
      </c>
      <c r="I15" s="538">
        <v>24</v>
      </c>
      <c r="J15" s="29">
        <v>1500</v>
      </c>
      <c r="K15" s="12">
        <f t="shared" si="1"/>
        <v>62.5</v>
      </c>
      <c r="L15" s="538">
        <v>24</v>
      </c>
      <c r="M15" s="13">
        <f t="shared" si="16"/>
        <v>1432.3076923076924</v>
      </c>
      <c r="N15" s="12">
        <f t="shared" si="3"/>
        <v>59.679487179487182</v>
      </c>
      <c r="O15" s="14">
        <f t="shared" si="4"/>
        <v>0</v>
      </c>
      <c r="P15" s="15">
        <f t="shared" si="5"/>
        <v>-2.8205128205128176</v>
      </c>
      <c r="Q15" s="534">
        <f t="shared" si="6"/>
        <v>0.95487179487179497</v>
      </c>
      <c r="R15" s="616"/>
      <c r="S15" s="32">
        <v>0.17013888888888887</v>
      </c>
      <c r="T15" s="32">
        <v>0.22430555555555554</v>
      </c>
      <c r="U15" s="533">
        <f t="shared" ref="U15:U20" si="18">IF(S15=TIME(17,0,0),"",(S15-T14)*24*60)</f>
        <v>26.999999999999986</v>
      </c>
      <c r="V15" s="539">
        <f t="shared" si="17"/>
        <v>78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-67.692307692307622</v>
      </c>
      <c r="AF15" s="534">
        <f t="shared" si="9"/>
        <v>0.95487179487179497</v>
      </c>
      <c r="AG15" s="616"/>
    </row>
    <row r="16" spans="1:33" ht="16.5" customHeight="1">
      <c r="A16" s="637" t="s">
        <v>278</v>
      </c>
      <c r="B16" s="540" t="s">
        <v>11</v>
      </c>
      <c r="C16" s="659" t="s">
        <v>12</v>
      </c>
      <c r="D16" s="659"/>
      <c r="E16" s="27">
        <v>41</v>
      </c>
      <c r="F16" s="540">
        <v>1537</v>
      </c>
      <c r="G16" s="533">
        <f t="shared" si="15"/>
        <v>63017</v>
      </c>
      <c r="H16" s="31" t="s">
        <v>40</v>
      </c>
      <c r="I16" s="538">
        <v>26</v>
      </c>
      <c r="J16" s="29">
        <v>1500</v>
      </c>
      <c r="K16" s="12">
        <f t="shared" si="1"/>
        <v>57.692307692307693</v>
      </c>
      <c r="L16" s="538">
        <v>26</v>
      </c>
      <c r="M16" s="13">
        <f t="shared" si="16"/>
        <v>1440.9375000000007</v>
      </c>
      <c r="N16" s="12">
        <f t="shared" si="3"/>
        <v>55.420673076923102</v>
      </c>
      <c r="O16" s="14">
        <f t="shared" si="4"/>
        <v>0</v>
      </c>
      <c r="P16" s="15">
        <f t="shared" si="5"/>
        <v>-2.2716346153845919</v>
      </c>
      <c r="Q16" s="534">
        <f t="shared" si="6"/>
        <v>0.9606250000000004</v>
      </c>
      <c r="R16" s="616"/>
      <c r="S16" s="32">
        <v>0.2298611111111111</v>
      </c>
      <c r="T16" s="32">
        <v>0.27430555555555552</v>
      </c>
      <c r="U16" s="533">
        <f t="shared" si="18"/>
        <v>8.0000000000000107</v>
      </c>
      <c r="V16" s="539">
        <f t="shared" si="17"/>
        <v>63.999999999999972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-59.062499999999318</v>
      </c>
      <c r="AF16" s="534">
        <f t="shared" si="9"/>
        <v>0.96062500000000051</v>
      </c>
      <c r="AG16" s="616"/>
    </row>
    <row r="17" spans="1:33" ht="16.5" customHeight="1">
      <c r="A17" s="637" t="s">
        <v>278</v>
      </c>
      <c r="B17" s="540" t="s">
        <v>5</v>
      </c>
      <c r="C17" s="659" t="s">
        <v>66</v>
      </c>
      <c r="D17" s="659"/>
      <c r="E17" s="27">
        <v>37.03</v>
      </c>
      <c r="F17" s="540">
        <v>2893</v>
      </c>
      <c r="G17" s="533">
        <f t="shared" si="15"/>
        <v>107127.79000000001</v>
      </c>
      <c r="H17" s="31" t="s">
        <v>40</v>
      </c>
      <c r="I17" s="538">
        <v>13</v>
      </c>
      <c r="J17" s="29">
        <v>1500</v>
      </c>
      <c r="K17" s="12">
        <f t="shared" si="1"/>
        <v>115.38461538461539</v>
      </c>
      <c r="L17" s="538">
        <v>13</v>
      </c>
      <c r="M17" s="13">
        <f t="shared" si="16"/>
        <v>1434.5454545454547</v>
      </c>
      <c r="N17" s="12">
        <f t="shared" si="3"/>
        <v>110.34965034965036</v>
      </c>
      <c r="O17" s="14">
        <f t="shared" si="4"/>
        <v>0</v>
      </c>
      <c r="P17" s="15">
        <f t="shared" si="5"/>
        <v>-5.0349650349650261</v>
      </c>
      <c r="Q17" s="534">
        <f t="shared" si="6"/>
        <v>0.95636363636363642</v>
      </c>
      <c r="R17" s="616"/>
      <c r="S17" s="32">
        <v>0.27916666666666662</v>
      </c>
      <c r="T17" s="32">
        <v>0.36319444444444438</v>
      </c>
      <c r="U17" s="533">
        <f t="shared" si="18"/>
        <v>6.9999999999999751</v>
      </c>
      <c r="V17" s="539">
        <f t="shared" si="17"/>
        <v>120.99999999999997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-65.454545454545269</v>
      </c>
      <c r="AF17" s="534">
        <f t="shared" si="9"/>
        <v>0.95636363636363653</v>
      </c>
      <c r="AG17" s="616"/>
    </row>
    <row r="18" spans="1:33" ht="16.5" customHeight="1">
      <c r="A18" s="637" t="s">
        <v>278</v>
      </c>
      <c r="B18" s="540" t="s">
        <v>5</v>
      </c>
      <c r="C18" s="659" t="s">
        <v>6</v>
      </c>
      <c r="D18" s="659"/>
      <c r="E18" s="27">
        <v>50.67</v>
      </c>
      <c r="F18" s="540">
        <v>1164</v>
      </c>
      <c r="G18" s="533">
        <f t="shared" si="15"/>
        <v>58979.880000000005</v>
      </c>
      <c r="H18" s="31" t="s">
        <v>40</v>
      </c>
      <c r="I18" s="538">
        <v>17</v>
      </c>
      <c r="J18" s="29">
        <v>2000</v>
      </c>
      <c r="K18" s="12">
        <f t="shared" si="1"/>
        <v>117.64705882352941</v>
      </c>
      <c r="L18" s="538">
        <v>17</v>
      </c>
      <c r="M18" s="13">
        <f t="shared" si="16"/>
        <v>1939.9999999999984</v>
      </c>
      <c r="N18" s="12">
        <f t="shared" si="3"/>
        <v>114.11764705882344</v>
      </c>
      <c r="O18" s="14">
        <f t="shared" si="4"/>
        <v>0</v>
      </c>
      <c r="P18" s="15">
        <f t="shared" si="5"/>
        <v>-3.5294117647059693</v>
      </c>
      <c r="Q18" s="534">
        <f t="shared" si="6"/>
        <v>0.96999999999999931</v>
      </c>
      <c r="R18" s="616"/>
      <c r="S18" s="32">
        <v>0.70833333333333337</v>
      </c>
      <c r="T18" s="32">
        <v>0.73333333333333339</v>
      </c>
      <c r="U18" s="533" t="str">
        <f t="shared" si="18"/>
        <v/>
      </c>
      <c r="V18" s="539">
        <f t="shared" si="17"/>
        <v>36.000000000000028</v>
      </c>
      <c r="W18" s="16"/>
      <c r="X18" s="16"/>
      <c r="Y18" s="16"/>
      <c r="Z18" s="16"/>
      <c r="AA18" s="612"/>
      <c r="AB18" s="612"/>
      <c r="AC18" s="136"/>
      <c r="AD18" s="18"/>
      <c r="AE18" s="14">
        <f t="shared" si="8"/>
        <v>-60.000000000001592</v>
      </c>
      <c r="AF18" s="534">
        <f t="shared" si="9"/>
        <v>0.9699999999999992</v>
      </c>
      <c r="AG18" s="616"/>
    </row>
    <row r="19" spans="1:33" ht="16.5" customHeight="1">
      <c r="A19" s="637" t="s">
        <v>278</v>
      </c>
      <c r="B19" s="540" t="s">
        <v>5</v>
      </c>
      <c r="C19" s="536" t="s">
        <v>615</v>
      </c>
      <c r="D19" s="537"/>
      <c r="E19" s="27">
        <v>54.5</v>
      </c>
      <c r="F19" s="540">
        <v>1541</v>
      </c>
      <c r="G19" s="533">
        <f t="shared" si="15"/>
        <v>83984.5</v>
      </c>
      <c r="H19" s="31" t="s">
        <v>40</v>
      </c>
      <c r="I19" s="538">
        <v>20</v>
      </c>
      <c r="J19" s="29">
        <v>1500</v>
      </c>
      <c r="K19" s="12">
        <f t="shared" si="1"/>
        <v>75</v>
      </c>
      <c r="L19" s="538">
        <v>20</v>
      </c>
      <c r="M19" s="13">
        <f t="shared" si="16"/>
        <v>1444.6875000000018</v>
      </c>
      <c r="N19" s="12">
        <f t="shared" si="3"/>
        <v>72.234375000000085</v>
      </c>
      <c r="O19" s="14">
        <f t="shared" si="4"/>
        <v>0</v>
      </c>
      <c r="P19" s="15">
        <f t="shared" si="5"/>
        <v>-2.7656249999999147</v>
      </c>
      <c r="Q19" s="534">
        <f t="shared" si="6"/>
        <v>0.96312500000000112</v>
      </c>
      <c r="R19" s="616"/>
      <c r="S19" s="32">
        <v>0.73819444444444449</v>
      </c>
      <c r="T19" s="32">
        <v>0.78263888888888888</v>
      </c>
      <c r="U19" s="533">
        <f t="shared" si="18"/>
        <v>6.9999999999999751</v>
      </c>
      <c r="V19" s="539">
        <f t="shared" si="17"/>
        <v>63.999999999999929</v>
      </c>
      <c r="W19" s="16"/>
      <c r="X19" s="16"/>
      <c r="Y19" s="19"/>
      <c r="Z19" s="19"/>
      <c r="AA19" s="529"/>
      <c r="AB19" s="530"/>
      <c r="AC19" s="136"/>
      <c r="AD19" s="18"/>
      <c r="AE19" s="14">
        <f t="shared" si="8"/>
        <v>-55.312499999998181</v>
      </c>
      <c r="AF19" s="534">
        <f t="shared" si="9"/>
        <v>0.96312500000000123</v>
      </c>
      <c r="AG19" s="616"/>
    </row>
    <row r="20" spans="1:33" ht="16.5" customHeight="1">
      <c r="A20" s="637" t="s">
        <v>278</v>
      </c>
      <c r="B20" s="540" t="s">
        <v>5</v>
      </c>
      <c r="C20" s="536" t="s">
        <v>18</v>
      </c>
      <c r="D20" s="537"/>
      <c r="E20" s="27">
        <v>50.49</v>
      </c>
      <c r="F20" s="540">
        <v>1444</v>
      </c>
      <c r="G20" s="533">
        <f t="shared" si="15"/>
        <v>72907.56</v>
      </c>
      <c r="H20" s="31" t="s">
        <v>40</v>
      </c>
      <c r="I20" s="538">
        <v>15</v>
      </c>
      <c r="J20" s="29">
        <v>2000</v>
      </c>
      <c r="K20" s="12">
        <f t="shared" si="1"/>
        <v>133.33333333333334</v>
      </c>
      <c r="L20" s="538">
        <v>15</v>
      </c>
      <c r="M20" s="13">
        <f t="shared" si="16"/>
        <v>1925.3333333333333</v>
      </c>
      <c r="N20" s="12">
        <f t="shared" si="3"/>
        <v>128.35555555555555</v>
      </c>
      <c r="O20" s="14">
        <f t="shared" si="4"/>
        <v>0</v>
      </c>
      <c r="P20" s="15">
        <f t="shared" si="5"/>
        <v>-4.9777777777777885</v>
      </c>
      <c r="Q20" s="534">
        <f t="shared" si="6"/>
        <v>0.96266666666666656</v>
      </c>
      <c r="R20" s="616"/>
      <c r="S20" s="32">
        <v>0.78819444444444442</v>
      </c>
      <c r="T20" s="32">
        <v>0.81944444444444442</v>
      </c>
      <c r="U20" s="533">
        <f t="shared" si="18"/>
        <v>7.9999999999999716</v>
      </c>
      <c r="V20" s="539">
        <f t="shared" si="17"/>
        <v>45</v>
      </c>
      <c r="W20" s="16"/>
      <c r="X20" s="16"/>
      <c r="Y20" s="19"/>
      <c r="Z20" s="19"/>
      <c r="AA20" s="529"/>
      <c r="AB20" s="530"/>
      <c r="AC20" s="136"/>
      <c r="AD20" s="18"/>
      <c r="AE20" s="14">
        <f t="shared" si="8"/>
        <v>-74.666666666666742</v>
      </c>
      <c r="AF20" s="534">
        <f t="shared" si="9"/>
        <v>0.96266666666666667</v>
      </c>
      <c r="AG20" s="616"/>
    </row>
    <row r="21" spans="1:33" ht="16.5" customHeight="1">
      <c r="A21" s="637" t="s">
        <v>278</v>
      </c>
      <c r="B21" s="27" t="s">
        <v>275</v>
      </c>
      <c r="C21" s="658"/>
      <c r="D21" s="658"/>
      <c r="E21" s="535"/>
      <c r="F21" s="28"/>
      <c r="G21" s="12"/>
      <c r="H21" s="540"/>
      <c r="I21" s="21">
        <v>18.428571428571427</v>
      </c>
      <c r="J21" s="29">
        <v>1714.2857142857142</v>
      </c>
      <c r="K21" s="12">
        <f t="shared" si="1"/>
        <v>93.023255813953497</v>
      </c>
      <c r="L21" s="21">
        <v>18.428571428571427</v>
      </c>
      <c r="M21" s="13">
        <f>AVERAGE(M14:M20)</f>
        <v>1647.38414731527</v>
      </c>
      <c r="N21" s="12">
        <f t="shared" si="3"/>
        <v>89.39293822641001</v>
      </c>
      <c r="O21" s="14">
        <f t="shared" si="4"/>
        <v>0</v>
      </c>
      <c r="P21" s="15">
        <f t="shared" si="5"/>
        <v>-3.6303175875434874</v>
      </c>
      <c r="Q21" s="534">
        <f t="shared" si="6"/>
        <v>0.96097408593390754</v>
      </c>
      <c r="R21" s="616"/>
      <c r="S21" s="32"/>
      <c r="T21" s="32"/>
      <c r="U21" s="533"/>
      <c r="V21" s="539"/>
      <c r="W21" s="12"/>
      <c r="X21" s="12"/>
      <c r="Y21" s="22">
        <f>SUM(Y14:Y20)</f>
        <v>0</v>
      </c>
      <c r="Z21" s="22">
        <f>SUM(Z14:Z20)</f>
        <v>0</v>
      </c>
      <c r="AA21" s="611"/>
      <c r="AB21" s="611"/>
      <c r="AC21" s="22">
        <v>7</v>
      </c>
      <c r="AD21" s="22">
        <f>SUM(AD14:AD20)</f>
        <v>0</v>
      </c>
      <c r="AE21" s="14">
        <f t="shared" si="8"/>
        <v>-66.901566970444264</v>
      </c>
      <c r="AF21" s="534">
        <f t="shared" si="9"/>
        <v>0.96097408593390754</v>
      </c>
      <c r="AG21" s="616"/>
    </row>
    <row r="22" spans="1:33" ht="15.75" customHeight="1">
      <c r="A22" s="634" t="s">
        <v>280</v>
      </c>
      <c r="B22" s="27" t="s">
        <v>5</v>
      </c>
      <c r="C22" s="659" t="s">
        <v>16</v>
      </c>
      <c r="D22" s="659"/>
      <c r="E22" s="27">
        <v>50.67</v>
      </c>
      <c r="F22" s="540">
        <v>1296</v>
      </c>
      <c r="G22" s="533">
        <f t="shared" ref="G22:G27" si="19">E22*F22</f>
        <v>65668.320000000007</v>
      </c>
      <c r="H22" s="31" t="s">
        <v>40</v>
      </c>
      <c r="I22" s="538">
        <v>17</v>
      </c>
      <c r="J22" s="29">
        <v>2000</v>
      </c>
      <c r="K22" s="12">
        <f t="shared" si="1"/>
        <v>117.64705882352941</v>
      </c>
      <c r="L22" s="538">
        <v>17</v>
      </c>
      <c r="M22" s="13">
        <f t="shared" ref="M22:M27" si="20">F22/V22*60</f>
        <v>1944.0000000000011</v>
      </c>
      <c r="N22" s="12">
        <f t="shared" si="3"/>
        <v>114.35294117647065</v>
      </c>
      <c r="O22" s="14">
        <f t="shared" si="4"/>
        <v>0</v>
      </c>
      <c r="P22" s="15">
        <f t="shared" si="5"/>
        <v>-3.294117647058755</v>
      </c>
      <c r="Q22" s="534">
        <f t="shared" si="6"/>
        <v>0.97200000000000053</v>
      </c>
      <c r="R22" s="616">
        <f>Q28</f>
        <v>0.96223429870032307</v>
      </c>
      <c r="S22" s="32">
        <v>0.20833333333333334</v>
      </c>
      <c r="T22" s="32">
        <v>0.2361111111111111</v>
      </c>
      <c r="U22" s="533"/>
      <c r="V22" s="539">
        <f t="shared" ref="V22:V27" si="21">(T22-S22)*24*60</f>
        <v>39.999999999999979</v>
      </c>
      <c r="W22" s="16"/>
      <c r="X22" s="16"/>
      <c r="Y22" s="20"/>
      <c r="Z22" s="20"/>
      <c r="AA22" s="612"/>
      <c r="AB22" s="612"/>
      <c r="AC22" s="136">
        <v>6</v>
      </c>
      <c r="AD22" s="18"/>
      <c r="AE22" s="14">
        <f t="shared" si="8"/>
        <v>-55.999999999998863</v>
      </c>
      <c r="AF22" s="534">
        <f t="shared" si="9"/>
        <v>0.97200000000000053</v>
      </c>
      <c r="AG22" s="616">
        <f>AF28</f>
        <v>0.96223429870032307</v>
      </c>
    </row>
    <row r="23" spans="1:33" ht="15.75" customHeight="1">
      <c r="A23" s="635" t="s">
        <v>2743</v>
      </c>
      <c r="B23" s="27" t="s">
        <v>5</v>
      </c>
      <c r="C23" s="659" t="s">
        <v>17</v>
      </c>
      <c r="D23" s="659"/>
      <c r="E23" s="27">
        <v>57.73</v>
      </c>
      <c r="F23" s="540">
        <v>1857</v>
      </c>
      <c r="G23" s="533">
        <f t="shared" si="19"/>
        <v>107204.61</v>
      </c>
      <c r="H23" s="31" t="s">
        <v>40</v>
      </c>
      <c r="I23" s="538">
        <v>14</v>
      </c>
      <c r="J23" s="29">
        <v>2000</v>
      </c>
      <c r="K23" s="12">
        <f t="shared" si="1"/>
        <v>142.85714285714286</v>
      </c>
      <c r="L23" s="538">
        <v>14</v>
      </c>
      <c r="M23" s="13">
        <f t="shared" si="20"/>
        <v>1921.0344827586209</v>
      </c>
      <c r="N23" s="12">
        <f t="shared" si="3"/>
        <v>137.21674876847291</v>
      </c>
      <c r="O23" s="14">
        <f t="shared" si="4"/>
        <v>0</v>
      </c>
      <c r="P23" s="15">
        <f t="shared" si="5"/>
        <v>-5.6403940886699502</v>
      </c>
      <c r="Q23" s="534">
        <f t="shared" si="6"/>
        <v>0.96051724137931038</v>
      </c>
      <c r="R23" s="616"/>
      <c r="S23" s="32">
        <v>0.24097222222222223</v>
      </c>
      <c r="T23" s="32">
        <v>0.28125</v>
      </c>
      <c r="U23" s="533">
        <f t="shared" ref="U23:U27" si="22">IF(S23=TIME(17,0,0),"",(S23-T22)*24*60)</f>
        <v>7.0000000000000151</v>
      </c>
      <c r="V23" s="539">
        <f t="shared" si="21"/>
        <v>57.999999999999993</v>
      </c>
      <c r="W23" s="16"/>
      <c r="X23" s="533"/>
      <c r="Y23" s="533"/>
      <c r="Z23" s="533"/>
      <c r="AA23" s="612"/>
      <c r="AB23" s="612"/>
      <c r="AC23" s="136"/>
      <c r="AD23" s="18"/>
      <c r="AE23" s="14">
        <f t="shared" si="8"/>
        <v>-78.965517241379075</v>
      </c>
      <c r="AF23" s="534">
        <f t="shared" si="9"/>
        <v>0.96051724137931049</v>
      </c>
      <c r="AG23" s="616"/>
    </row>
    <row r="24" spans="1:33" ht="15.75" customHeight="1">
      <c r="A24" s="635" t="s">
        <v>2744</v>
      </c>
      <c r="B24" s="27" t="s">
        <v>5</v>
      </c>
      <c r="C24" s="659" t="s">
        <v>60</v>
      </c>
      <c r="D24" s="659"/>
      <c r="E24" s="27">
        <v>53.27</v>
      </c>
      <c r="F24" s="540">
        <v>1086</v>
      </c>
      <c r="G24" s="533">
        <f t="shared" si="19"/>
        <v>57851.22</v>
      </c>
      <c r="H24" s="31" t="s">
        <v>40</v>
      </c>
      <c r="I24" s="538">
        <v>16</v>
      </c>
      <c r="J24" s="29">
        <v>2000</v>
      </c>
      <c r="K24" s="12">
        <f t="shared" si="1"/>
        <v>125</v>
      </c>
      <c r="L24" s="538">
        <v>16</v>
      </c>
      <c r="M24" s="13">
        <f t="shared" si="20"/>
        <v>1916.4705882352919</v>
      </c>
      <c r="N24" s="12">
        <f t="shared" si="3"/>
        <v>119.77941176470574</v>
      </c>
      <c r="O24" s="14">
        <f t="shared" si="4"/>
        <v>0</v>
      </c>
      <c r="P24" s="15">
        <f t="shared" si="5"/>
        <v>-5.2205882352942581</v>
      </c>
      <c r="Q24" s="534">
        <f t="shared" si="6"/>
        <v>0.95823529411764596</v>
      </c>
      <c r="R24" s="616"/>
      <c r="S24" s="32">
        <v>0.28541666666666665</v>
      </c>
      <c r="T24" s="32">
        <v>0.30902777777777779</v>
      </c>
      <c r="U24" s="533">
        <f t="shared" si="22"/>
        <v>5.9999999999999787</v>
      </c>
      <c r="V24" s="539">
        <f t="shared" si="21"/>
        <v>34.000000000000043</v>
      </c>
      <c r="W24" s="16"/>
      <c r="X24" s="533"/>
      <c r="Y24" s="533"/>
      <c r="Z24" s="533"/>
      <c r="AA24" s="612"/>
      <c r="AB24" s="612"/>
      <c r="AC24" s="136"/>
      <c r="AD24" s="18"/>
      <c r="AE24" s="14">
        <f t="shared" si="8"/>
        <v>-83.529411764708129</v>
      </c>
      <c r="AF24" s="534">
        <f t="shared" si="9"/>
        <v>0.95823529411764596</v>
      </c>
      <c r="AG24" s="616"/>
    </row>
    <row r="25" spans="1:33" ht="15.75" customHeight="1">
      <c r="A25" s="635" t="s">
        <v>2744</v>
      </c>
      <c r="B25" s="27" t="s">
        <v>5</v>
      </c>
      <c r="C25" s="659" t="s">
        <v>65</v>
      </c>
      <c r="D25" s="659"/>
      <c r="E25" s="27">
        <v>56.43</v>
      </c>
      <c r="F25" s="540">
        <v>1157</v>
      </c>
      <c r="G25" s="533">
        <f t="shared" si="19"/>
        <v>65289.51</v>
      </c>
      <c r="H25" s="31" t="s">
        <v>40</v>
      </c>
      <c r="I25" s="538">
        <v>13</v>
      </c>
      <c r="J25" s="29">
        <v>2000</v>
      </c>
      <c r="K25" s="12">
        <f t="shared" si="1"/>
        <v>153.84615384615384</v>
      </c>
      <c r="L25" s="538">
        <v>13</v>
      </c>
      <c r="M25" s="13">
        <f t="shared" si="20"/>
        <v>1928.3333333333319</v>
      </c>
      <c r="N25" s="12">
        <f t="shared" si="3"/>
        <v>148.33333333333323</v>
      </c>
      <c r="O25" s="14">
        <f t="shared" si="4"/>
        <v>0</v>
      </c>
      <c r="P25" s="15">
        <f t="shared" si="5"/>
        <v>-5.5128205128206105</v>
      </c>
      <c r="Q25" s="534">
        <f t="shared" si="6"/>
        <v>0.96416666666666606</v>
      </c>
      <c r="R25" s="616"/>
      <c r="S25" s="32">
        <v>0.70833333333333337</v>
      </c>
      <c r="T25" s="32">
        <v>0.73333333333333339</v>
      </c>
      <c r="U25" s="533" t="str">
        <f t="shared" si="22"/>
        <v/>
      </c>
      <c r="V25" s="539">
        <f t="shared" si="21"/>
        <v>36.000000000000028</v>
      </c>
      <c r="W25" s="16"/>
      <c r="X25" s="533"/>
      <c r="Y25" s="533"/>
      <c r="Z25" s="533"/>
      <c r="AA25" s="612"/>
      <c r="AB25" s="612"/>
      <c r="AC25" s="136"/>
      <c r="AD25" s="18"/>
      <c r="AE25" s="14">
        <f t="shared" si="8"/>
        <v>-71.666666666668107</v>
      </c>
      <c r="AF25" s="534">
        <f t="shared" si="9"/>
        <v>0.96416666666666595</v>
      </c>
      <c r="AG25" s="616"/>
    </row>
    <row r="26" spans="1:33" ht="15.75" customHeight="1">
      <c r="A26" s="635" t="s">
        <v>2745</v>
      </c>
      <c r="B26" s="27" t="s">
        <v>5</v>
      </c>
      <c r="C26" s="659" t="s">
        <v>1322</v>
      </c>
      <c r="D26" s="659"/>
      <c r="E26" s="27">
        <v>54.09</v>
      </c>
      <c r="F26" s="540">
        <v>1852</v>
      </c>
      <c r="G26" s="533">
        <f t="shared" si="19"/>
        <v>100174.68000000001</v>
      </c>
      <c r="H26" s="31" t="s">
        <v>40</v>
      </c>
      <c r="I26" s="538">
        <v>18</v>
      </c>
      <c r="J26" s="29">
        <v>2000</v>
      </c>
      <c r="K26" s="12">
        <f t="shared" si="1"/>
        <v>111.11111111111111</v>
      </c>
      <c r="L26" s="538">
        <v>18</v>
      </c>
      <c r="M26" s="13">
        <f t="shared" si="20"/>
        <v>1915.8620689655186</v>
      </c>
      <c r="N26" s="12">
        <f t="shared" si="3"/>
        <v>106.43678160919548</v>
      </c>
      <c r="O26" s="14">
        <f t="shared" si="4"/>
        <v>0</v>
      </c>
      <c r="P26" s="15">
        <f t="shared" si="5"/>
        <v>-4.6743295019156363</v>
      </c>
      <c r="Q26" s="534">
        <f t="shared" si="6"/>
        <v>0.95793103448275929</v>
      </c>
      <c r="R26" s="616"/>
      <c r="S26" s="32">
        <v>0.73888888888888893</v>
      </c>
      <c r="T26" s="32">
        <v>0.77916666666666667</v>
      </c>
      <c r="U26" s="533">
        <f t="shared" si="22"/>
        <v>7.9999999999999716</v>
      </c>
      <c r="V26" s="539">
        <f t="shared" si="21"/>
        <v>57.999999999999957</v>
      </c>
      <c r="W26" s="16"/>
      <c r="X26" s="16"/>
      <c r="Y26" s="533"/>
      <c r="Z26" s="533"/>
      <c r="AA26" s="612"/>
      <c r="AB26" s="612"/>
      <c r="AC26" s="136"/>
      <c r="AD26" s="18"/>
      <c r="AE26" s="14">
        <f t="shared" si="8"/>
        <v>-84.137931034481426</v>
      </c>
      <c r="AF26" s="534">
        <f t="shared" si="9"/>
        <v>0.95793103448275929</v>
      </c>
      <c r="AG26" s="616"/>
    </row>
    <row r="27" spans="1:33" ht="15.75" customHeight="1">
      <c r="A27" s="635" t="s">
        <v>2743</v>
      </c>
      <c r="B27" s="27" t="s">
        <v>5</v>
      </c>
      <c r="C27" s="659" t="s">
        <v>1930</v>
      </c>
      <c r="D27" s="659"/>
      <c r="E27" s="27">
        <v>57.3</v>
      </c>
      <c r="F27" s="540">
        <v>1729</v>
      </c>
      <c r="G27" s="533">
        <f t="shared" si="19"/>
        <v>99071.7</v>
      </c>
      <c r="H27" s="31" t="s">
        <v>40</v>
      </c>
      <c r="I27" s="538">
        <v>16</v>
      </c>
      <c r="J27" s="29">
        <v>2000</v>
      </c>
      <c r="K27" s="12">
        <f t="shared" si="1"/>
        <v>125</v>
      </c>
      <c r="L27" s="538">
        <v>16</v>
      </c>
      <c r="M27" s="13">
        <f t="shared" si="20"/>
        <v>1921.111111111112</v>
      </c>
      <c r="N27" s="12">
        <f t="shared" si="3"/>
        <v>120.0694444444445</v>
      </c>
      <c r="O27" s="14">
        <f t="shared" si="4"/>
        <v>0</v>
      </c>
      <c r="P27" s="15">
        <f t="shared" si="5"/>
        <v>-4.9305555555555003</v>
      </c>
      <c r="Q27" s="534">
        <f t="shared" si="6"/>
        <v>0.96055555555555605</v>
      </c>
      <c r="R27" s="616"/>
      <c r="S27" s="32">
        <v>0.78333333333333333</v>
      </c>
      <c r="T27" s="32">
        <v>0.8208333333333333</v>
      </c>
      <c r="U27" s="533">
        <f t="shared" si="22"/>
        <v>5.9999999999999787</v>
      </c>
      <c r="V27" s="539">
        <f t="shared" si="21"/>
        <v>53.999999999999972</v>
      </c>
      <c r="W27" s="16"/>
      <c r="X27" s="20"/>
      <c r="Y27" s="20"/>
      <c r="Z27" s="20"/>
      <c r="AA27" s="612"/>
      <c r="AB27" s="612"/>
      <c r="AC27" s="136"/>
      <c r="AD27" s="18"/>
      <c r="AE27" s="14">
        <f t="shared" si="8"/>
        <v>-78.888888888888005</v>
      </c>
      <c r="AF27" s="534">
        <f t="shared" si="9"/>
        <v>0.96055555555555605</v>
      </c>
      <c r="AG27" s="616"/>
    </row>
    <row r="28" spans="1:33" ht="15.75" customHeight="1">
      <c r="A28" s="635" t="s">
        <v>2746</v>
      </c>
      <c r="B28" s="27" t="s">
        <v>2747</v>
      </c>
      <c r="C28" s="658"/>
      <c r="D28" s="658"/>
      <c r="E28" s="535"/>
      <c r="F28" s="540"/>
      <c r="G28" s="533"/>
      <c r="H28" s="540"/>
      <c r="I28" s="21">
        <v>15.666666666666666</v>
      </c>
      <c r="J28" s="29">
        <v>2000</v>
      </c>
      <c r="K28" s="12">
        <f t="shared" si="1"/>
        <v>127.65957446808511</v>
      </c>
      <c r="L28" s="21">
        <v>15.666666666666666</v>
      </c>
      <c r="M28" s="13">
        <f>AVERAGE(M22:M27)</f>
        <v>1924.4685974006461</v>
      </c>
      <c r="N28" s="12">
        <f t="shared" si="3"/>
        <v>122.83842111067955</v>
      </c>
      <c r="O28" s="14">
        <f t="shared" si="4"/>
        <v>0</v>
      </c>
      <c r="P28" s="15">
        <f t="shared" si="5"/>
        <v>-4.8211533574055636</v>
      </c>
      <c r="Q28" s="534">
        <f t="shared" si="6"/>
        <v>0.96223429870032307</v>
      </c>
      <c r="R28" s="616"/>
      <c r="S28" s="32"/>
      <c r="T28" s="32"/>
      <c r="U28" s="12"/>
      <c r="V28" s="539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-75.531402599353896</v>
      </c>
      <c r="AF28" s="534">
        <f t="shared" si="9"/>
        <v>0.96223429870032307</v>
      </c>
      <c r="AG28" s="616"/>
    </row>
    <row r="29" spans="1:33" ht="15.75" customHeight="1">
      <c r="A29" s="633" t="s">
        <v>2748</v>
      </c>
      <c r="B29" s="27" t="s">
        <v>20</v>
      </c>
      <c r="C29" s="659" t="s">
        <v>21</v>
      </c>
      <c r="D29" s="659"/>
      <c r="E29" s="27">
        <v>31.29</v>
      </c>
      <c r="F29" s="540">
        <v>6590</v>
      </c>
      <c r="G29" s="533">
        <f t="shared" ref="G29:G35" si="23">E29*F29</f>
        <v>206201.1</v>
      </c>
      <c r="H29" s="31" t="s">
        <v>40</v>
      </c>
      <c r="I29" s="538">
        <v>18</v>
      </c>
      <c r="J29" s="29">
        <v>2400</v>
      </c>
      <c r="K29" s="12">
        <f t="shared" si="1"/>
        <v>133.33333333333334</v>
      </c>
      <c r="L29" s="538">
        <v>18</v>
      </c>
      <c r="M29" s="13">
        <f t="shared" ref="M29:M35" si="24">F29/V29*60</f>
        <v>2285.5491329479769</v>
      </c>
      <c r="N29" s="12">
        <f t="shared" si="3"/>
        <v>126.97495183044316</v>
      </c>
      <c r="O29" s="14">
        <f t="shared" si="4"/>
        <v>0</v>
      </c>
      <c r="P29" s="15">
        <f t="shared" si="5"/>
        <v>-6.3583815028901824</v>
      </c>
      <c r="Q29" s="534">
        <f t="shared" si="6"/>
        <v>0.95231213872832365</v>
      </c>
      <c r="R29" s="616">
        <f>Q36</f>
        <v>0.95978079196422472</v>
      </c>
      <c r="S29" s="32">
        <v>8.3333333333333329E-2</v>
      </c>
      <c r="T29" s="32">
        <v>0.20347222222222222</v>
      </c>
      <c r="U29" s="533"/>
      <c r="V29" s="539">
        <f t="shared" ref="V29:V35" si="25">(T29-S29)*24*60</f>
        <v>173</v>
      </c>
      <c r="W29" s="16">
        <f>T29</f>
        <v>0.20347222222222222</v>
      </c>
      <c r="X29" s="16">
        <f>S30</f>
        <v>0.22361111111111112</v>
      </c>
      <c r="Y29" s="16"/>
      <c r="Z29" s="16"/>
      <c r="AA29" s="612"/>
      <c r="AB29" s="612"/>
      <c r="AC29" s="136">
        <v>7</v>
      </c>
      <c r="AD29" s="18"/>
      <c r="AE29" s="14">
        <f t="shared" si="8"/>
        <v>-114.45086705202311</v>
      </c>
      <c r="AF29" s="534">
        <f t="shared" si="9"/>
        <v>0.95231213872832365</v>
      </c>
      <c r="AG29" s="616">
        <f>AF36</f>
        <v>0.95978079196422472</v>
      </c>
    </row>
    <row r="30" spans="1:33" ht="15.75" customHeight="1">
      <c r="A30" s="633" t="s">
        <v>281</v>
      </c>
      <c r="B30" s="27" t="s">
        <v>20</v>
      </c>
      <c r="C30" s="659" t="s">
        <v>22</v>
      </c>
      <c r="D30" s="659"/>
      <c r="E30" s="27">
        <v>26.37</v>
      </c>
      <c r="F30" s="540">
        <v>4918</v>
      </c>
      <c r="G30" s="533">
        <f t="shared" si="23"/>
        <v>129687.66</v>
      </c>
      <c r="H30" s="31" t="s">
        <v>40</v>
      </c>
      <c r="I30" s="538">
        <v>18</v>
      </c>
      <c r="J30" s="29">
        <v>2400</v>
      </c>
      <c r="K30" s="12">
        <f t="shared" si="1"/>
        <v>133.33333333333334</v>
      </c>
      <c r="L30" s="538">
        <v>18</v>
      </c>
      <c r="M30" s="13">
        <f t="shared" si="24"/>
        <v>2287.4418604651169</v>
      </c>
      <c r="N30" s="12">
        <f t="shared" si="3"/>
        <v>127.08010335917317</v>
      </c>
      <c r="O30" s="14">
        <f t="shared" si="4"/>
        <v>0</v>
      </c>
      <c r="P30" s="15">
        <f t="shared" si="5"/>
        <v>-6.2532299741601776</v>
      </c>
      <c r="Q30" s="534">
        <f t="shared" si="6"/>
        <v>0.95310077519379865</v>
      </c>
      <c r="R30" s="616"/>
      <c r="S30" s="32">
        <v>0.22361111111111112</v>
      </c>
      <c r="T30" s="32">
        <v>0.31319444444444444</v>
      </c>
      <c r="U30" s="533">
        <f t="shared" ref="U30:U35" si="26">(S30-T29)*24*60</f>
        <v>29.000000000000018</v>
      </c>
      <c r="V30" s="539">
        <f t="shared" si="25"/>
        <v>128.99999999999997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-112.55813953488314</v>
      </c>
      <c r="AF30" s="534">
        <f t="shared" si="9"/>
        <v>0.95310077519379865</v>
      </c>
      <c r="AG30" s="616"/>
    </row>
    <row r="31" spans="1:33" ht="15.75" customHeight="1">
      <c r="A31" s="633" t="s">
        <v>281</v>
      </c>
      <c r="B31" s="27" t="s">
        <v>20</v>
      </c>
      <c r="C31" s="659" t="s">
        <v>57</v>
      </c>
      <c r="D31" s="659"/>
      <c r="E31" s="27">
        <v>26.18</v>
      </c>
      <c r="F31" s="540">
        <v>3500</v>
      </c>
      <c r="G31" s="533">
        <f t="shared" si="23"/>
        <v>91630</v>
      </c>
      <c r="H31" s="31">
        <v>2</v>
      </c>
      <c r="I31" s="538">
        <v>18</v>
      </c>
      <c r="J31" s="29">
        <v>2400</v>
      </c>
      <c r="K31" s="12">
        <f t="shared" si="1"/>
        <v>133.33333333333334</v>
      </c>
      <c r="L31" s="538">
        <v>18</v>
      </c>
      <c r="M31" s="13">
        <f t="shared" si="24"/>
        <v>2307.6923076923076</v>
      </c>
      <c r="N31" s="12">
        <f t="shared" si="3"/>
        <v>128.2051282051282</v>
      </c>
      <c r="O31" s="14">
        <f t="shared" si="4"/>
        <v>0</v>
      </c>
      <c r="P31" s="15">
        <f t="shared" si="5"/>
        <v>-5.1282051282051384</v>
      </c>
      <c r="Q31" s="534">
        <f t="shared" si="6"/>
        <v>0.96153846153846145</v>
      </c>
      <c r="R31" s="616"/>
      <c r="S31" s="32">
        <v>0.31666666666666665</v>
      </c>
      <c r="T31" s="32">
        <v>0.37986111111111109</v>
      </c>
      <c r="U31" s="533">
        <f t="shared" si="26"/>
        <v>4.9999999999999822</v>
      </c>
      <c r="V31" s="539">
        <f t="shared" si="25"/>
        <v>91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-92.307692307692378</v>
      </c>
      <c r="AF31" s="534">
        <f t="shared" si="9"/>
        <v>0.96153846153846156</v>
      </c>
      <c r="AG31" s="616"/>
    </row>
    <row r="32" spans="1:33" ht="15.75" customHeight="1">
      <c r="A32" s="633" t="s">
        <v>281</v>
      </c>
      <c r="B32" s="27" t="s">
        <v>20</v>
      </c>
      <c r="C32" s="659" t="s">
        <v>59</v>
      </c>
      <c r="D32" s="659"/>
      <c r="E32" s="27">
        <v>25.99</v>
      </c>
      <c r="F32" s="540">
        <v>931</v>
      </c>
      <c r="G32" s="533">
        <f t="shared" si="23"/>
        <v>24196.69</v>
      </c>
      <c r="H32" s="31" t="s">
        <v>40</v>
      </c>
      <c r="I32" s="538">
        <v>18</v>
      </c>
      <c r="J32" s="29">
        <v>2400</v>
      </c>
      <c r="K32" s="12">
        <f t="shared" si="1"/>
        <v>133.33333333333334</v>
      </c>
      <c r="L32" s="538">
        <v>18</v>
      </c>
      <c r="M32" s="13">
        <f t="shared" si="24"/>
        <v>2327.5000000000009</v>
      </c>
      <c r="N32" s="12">
        <f t="shared" si="3"/>
        <v>129.3055555555556</v>
      </c>
      <c r="O32" s="14">
        <f t="shared" si="4"/>
        <v>0</v>
      </c>
      <c r="P32" s="15">
        <f t="shared" si="5"/>
        <v>-4.027777777777743</v>
      </c>
      <c r="Q32" s="534">
        <f t="shared" si="6"/>
        <v>0.96979166666666694</v>
      </c>
      <c r="R32" s="616"/>
      <c r="S32" s="32">
        <v>0.38402777777777775</v>
      </c>
      <c r="T32" s="32">
        <v>0.40069444444444441</v>
      </c>
      <c r="U32" s="533">
        <f t="shared" si="26"/>
        <v>5.9999999999999787</v>
      </c>
      <c r="V32" s="539">
        <f t="shared" si="25"/>
        <v>23.999999999999993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-72.499999999999091</v>
      </c>
      <c r="AF32" s="534">
        <f t="shared" si="9"/>
        <v>0.96979166666666705</v>
      </c>
      <c r="AG32" s="616"/>
    </row>
    <row r="33" spans="1:33" ht="15.75" customHeight="1">
      <c r="A33" s="633" t="s">
        <v>281</v>
      </c>
      <c r="B33" s="27" t="s">
        <v>20</v>
      </c>
      <c r="C33" s="659" t="s">
        <v>23</v>
      </c>
      <c r="D33" s="659"/>
      <c r="E33" s="27">
        <v>25.99</v>
      </c>
      <c r="F33" s="540">
        <v>3070</v>
      </c>
      <c r="G33" s="533">
        <f t="shared" si="23"/>
        <v>79789.299999999988</v>
      </c>
      <c r="H33" s="31" t="s">
        <v>40</v>
      </c>
      <c r="I33" s="538">
        <v>14</v>
      </c>
      <c r="J33" s="29">
        <v>2400</v>
      </c>
      <c r="K33" s="12">
        <f t="shared" si="1"/>
        <v>171.42857142857142</v>
      </c>
      <c r="L33" s="538">
        <v>14</v>
      </c>
      <c r="M33" s="13">
        <f t="shared" si="24"/>
        <v>2302.5000000000014</v>
      </c>
      <c r="N33" s="12">
        <f t="shared" si="3"/>
        <v>164.46428571428581</v>
      </c>
      <c r="O33" s="14">
        <f t="shared" si="4"/>
        <v>0</v>
      </c>
      <c r="P33" s="15">
        <f t="shared" si="5"/>
        <v>-6.9642857142856087</v>
      </c>
      <c r="Q33" s="534">
        <f t="shared" si="6"/>
        <v>0.95937500000000064</v>
      </c>
      <c r="R33" s="616"/>
      <c r="S33" s="32">
        <v>0.40416666666666662</v>
      </c>
      <c r="T33" s="32">
        <v>0.45972222222222214</v>
      </c>
      <c r="U33" s="533">
        <f t="shared" si="26"/>
        <v>4.9999999999999822</v>
      </c>
      <c r="V33" s="539">
        <f t="shared" si="25"/>
        <v>79.999999999999957</v>
      </c>
      <c r="W33" s="16"/>
      <c r="X33" s="16"/>
      <c r="Y33" s="16"/>
      <c r="Z33" s="16"/>
      <c r="AA33" s="612"/>
      <c r="AB33" s="612"/>
      <c r="AC33" s="136"/>
      <c r="AD33" s="18"/>
      <c r="AE33" s="14">
        <f t="shared" si="8"/>
        <v>-97.499999999998636</v>
      </c>
      <c r="AF33" s="534">
        <f t="shared" si="9"/>
        <v>0.95937500000000053</v>
      </c>
      <c r="AG33" s="616"/>
    </row>
    <row r="34" spans="1:33" ht="15.75" customHeight="1">
      <c r="A34" s="633" t="s">
        <v>2749</v>
      </c>
      <c r="B34" s="27" t="s">
        <v>20</v>
      </c>
      <c r="C34" s="659" t="s">
        <v>64</v>
      </c>
      <c r="D34" s="659"/>
      <c r="E34" s="27">
        <v>20.21</v>
      </c>
      <c r="F34" s="540">
        <v>1785</v>
      </c>
      <c r="G34" s="533">
        <f t="shared" si="23"/>
        <v>36074.85</v>
      </c>
      <c r="H34" s="31" t="s">
        <v>40</v>
      </c>
      <c r="I34" s="538">
        <v>18</v>
      </c>
      <c r="J34" s="29">
        <v>2400</v>
      </c>
      <c r="K34" s="12">
        <f t="shared" si="1"/>
        <v>133.33333333333334</v>
      </c>
      <c r="L34" s="538">
        <v>18</v>
      </c>
      <c r="M34" s="13">
        <f t="shared" si="24"/>
        <v>2328.260869565217</v>
      </c>
      <c r="N34" s="12">
        <f t="shared" si="3"/>
        <v>129.3478260869565</v>
      </c>
      <c r="O34" s="14">
        <f t="shared" si="4"/>
        <v>0</v>
      </c>
      <c r="P34" s="15">
        <f t="shared" si="5"/>
        <v>-3.9855072463768408</v>
      </c>
      <c r="Q34" s="534">
        <f t="shared" si="6"/>
        <v>0.97010869565217372</v>
      </c>
      <c r="R34" s="616"/>
      <c r="S34" s="32">
        <v>0.4638888888888888</v>
      </c>
      <c r="T34" s="32">
        <v>0.49583333333333324</v>
      </c>
      <c r="U34" s="533">
        <f t="shared" si="26"/>
        <v>5.9999999999999787</v>
      </c>
      <c r="V34" s="539">
        <f t="shared" si="25"/>
        <v>46</v>
      </c>
      <c r="W34" s="16">
        <f>T34</f>
        <v>0.49583333333333324</v>
      </c>
      <c r="X34" s="16">
        <f>S35</f>
        <v>0.53680555555555542</v>
      </c>
      <c r="Y34" s="16"/>
      <c r="Z34" s="16"/>
      <c r="AA34" s="612"/>
      <c r="AB34" s="612"/>
      <c r="AC34" s="136"/>
      <c r="AD34" s="18"/>
      <c r="AE34" s="14">
        <f t="shared" si="8"/>
        <v>-71.739130434782965</v>
      </c>
      <c r="AF34" s="534">
        <f t="shared" si="9"/>
        <v>0.97010869565217372</v>
      </c>
      <c r="AG34" s="616"/>
    </row>
    <row r="35" spans="1:33" ht="15.75" customHeight="1">
      <c r="A35" s="633" t="s">
        <v>281</v>
      </c>
      <c r="B35" s="27" t="s">
        <v>20</v>
      </c>
      <c r="C35" s="659" t="s">
        <v>57</v>
      </c>
      <c r="D35" s="659"/>
      <c r="E35" s="27">
        <v>26.18</v>
      </c>
      <c r="F35" s="540">
        <v>2552</v>
      </c>
      <c r="G35" s="533">
        <f t="shared" si="23"/>
        <v>66811.360000000001</v>
      </c>
      <c r="H35" s="31" t="s">
        <v>40</v>
      </c>
      <c r="I35" s="538">
        <v>18</v>
      </c>
      <c r="J35" s="29">
        <v>2400</v>
      </c>
      <c r="K35" s="12">
        <f t="shared" si="1"/>
        <v>133.33333333333334</v>
      </c>
      <c r="L35" s="538">
        <v>18</v>
      </c>
      <c r="M35" s="13">
        <f t="shared" si="24"/>
        <v>2285.3731343283553</v>
      </c>
      <c r="N35" s="12">
        <f t="shared" si="3"/>
        <v>126.96517412935307</v>
      </c>
      <c r="O35" s="14">
        <f t="shared" si="4"/>
        <v>0</v>
      </c>
      <c r="P35" s="15">
        <f t="shared" si="5"/>
        <v>-6.3681592039802695</v>
      </c>
      <c r="Q35" s="534">
        <f t="shared" si="6"/>
        <v>0.95223880597014798</v>
      </c>
      <c r="R35" s="616"/>
      <c r="S35" s="32">
        <v>0.53680555555555542</v>
      </c>
      <c r="T35" s="32">
        <v>0.58333333333333326</v>
      </c>
      <c r="U35" s="533">
        <f t="shared" si="26"/>
        <v>58.99999999999995</v>
      </c>
      <c r="V35" s="539">
        <f t="shared" si="25"/>
        <v>67.000000000000085</v>
      </c>
      <c r="W35" s="16"/>
      <c r="X35" s="16"/>
      <c r="Y35" s="16"/>
      <c r="Z35" s="16"/>
      <c r="AA35" s="612"/>
      <c r="AB35" s="612"/>
      <c r="AC35" s="136"/>
      <c r="AD35" s="18"/>
      <c r="AE35" s="14">
        <f t="shared" si="8"/>
        <v>-114.62686567164474</v>
      </c>
      <c r="AF35" s="534">
        <f t="shared" si="9"/>
        <v>0.95223880597014798</v>
      </c>
      <c r="AG35" s="616"/>
    </row>
    <row r="36" spans="1:33" ht="15.75" customHeight="1">
      <c r="A36" s="633" t="s">
        <v>281</v>
      </c>
      <c r="B36" s="27" t="s">
        <v>275</v>
      </c>
      <c r="C36" s="658"/>
      <c r="D36" s="658"/>
      <c r="E36" s="535"/>
      <c r="F36" s="540"/>
      <c r="G36" s="533"/>
      <c r="H36" s="540"/>
      <c r="I36" s="21">
        <v>17.428571428571427</v>
      </c>
      <c r="J36" s="29">
        <v>2400</v>
      </c>
      <c r="K36" s="12">
        <f t="shared" si="1"/>
        <v>137.70491803278691</v>
      </c>
      <c r="L36" s="21">
        <v>17.428571428571427</v>
      </c>
      <c r="M36" s="13">
        <f>AVERAGE(M29:M35)</f>
        <v>2303.4739007141393</v>
      </c>
      <c r="N36" s="12">
        <f t="shared" si="3"/>
        <v>132.16653528687687</v>
      </c>
      <c r="O36" s="14">
        <f t="shared" si="4"/>
        <v>0</v>
      </c>
      <c r="P36" s="15">
        <f t="shared" si="5"/>
        <v>-5.5383827459100416</v>
      </c>
      <c r="Q36" s="534">
        <f t="shared" si="6"/>
        <v>0.95978079196422472</v>
      </c>
      <c r="R36" s="616"/>
      <c r="S36" s="32"/>
      <c r="T36" s="32"/>
      <c r="U36" s="533"/>
      <c r="V36" s="539"/>
      <c r="W36" s="533"/>
      <c r="X36" s="533"/>
      <c r="Y36" s="22">
        <f>SUM(Y29:Y35)</f>
        <v>0</v>
      </c>
      <c r="Z36" s="22">
        <f>SUM(Z29:Z35)</f>
        <v>0</v>
      </c>
      <c r="AA36" s="611"/>
      <c r="AB36" s="611"/>
      <c r="AC36" s="22">
        <v>7</v>
      </c>
      <c r="AD36" s="22">
        <f>SUM(AD29:AD35)</f>
        <v>0</v>
      </c>
      <c r="AE36" s="14">
        <f t="shared" si="8"/>
        <v>-96.52609928586071</v>
      </c>
      <c r="AF36" s="534">
        <f t="shared" si="9"/>
        <v>0.95978079196422472</v>
      </c>
      <c r="AG36" s="616"/>
    </row>
    <row r="37" spans="1:33" ht="15.75" customHeight="1">
      <c r="A37" s="629" t="s">
        <v>282</v>
      </c>
      <c r="B37" s="27" t="s">
        <v>20</v>
      </c>
      <c r="C37" s="660" t="s">
        <v>58</v>
      </c>
      <c r="D37" s="660"/>
      <c r="E37" s="27">
        <v>26.18</v>
      </c>
      <c r="F37" s="540">
        <v>4645</v>
      </c>
      <c r="G37" s="533">
        <f t="shared" ref="G37:G40" si="27">E37*F37</f>
        <v>121606.1</v>
      </c>
      <c r="H37" s="31" t="s">
        <v>40</v>
      </c>
      <c r="I37" s="538">
        <v>20</v>
      </c>
      <c r="J37" s="29">
        <v>2400</v>
      </c>
      <c r="K37" s="12">
        <f t="shared" si="1"/>
        <v>120</v>
      </c>
      <c r="L37" s="538">
        <v>20</v>
      </c>
      <c r="M37" s="13">
        <f t="shared" ref="M37:M40" si="28">F37/V37*60</f>
        <v>2284.4262295081967</v>
      </c>
      <c r="N37" s="12">
        <f t="shared" si="3"/>
        <v>114.22131147540983</v>
      </c>
      <c r="O37" s="14">
        <f t="shared" si="4"/>
        <v>0</v>
      </c>
      <c r="P37" s="15">
        <f t="shared" si="5"/>
        <v>-5.7786885245901658</v>
      </c>
      <c r="Q37" s="534">
        <f t="shared" si="6"/>
        <v>0.9518442622950819</v>
      </c>
      <c r="R37" s="616">
        <f>Q41</f>
        <v>0.95704556730971857</v>
      </c>
      <c r="S37" s="32">
        <v>8.3333333333333329E-2</v>
      </c>
      <c r="T37" s="32">
        <v>0.16805555555555554</v>
      </c>
      <c r="U37" s="533"/>
      <c r="V37" s="539">
        <f t="shared" ref="V37:V40" si="29">(T37-S37)*24*60</f>
        <v>122</v>
      </c>
      <c r="W37" s="20">
        <f>T37</f>
        <v>0.16805555555555554</v>
      </c>
      <c r="X37" s="20">
        <f>S38</f>
        <v>0.18680555555555553</v>
      </c>
      <c r="Y37" s="20"/>
      <c r="Z37" s="20"/>
      <c r="AA37" s="612"/>
      <c r="AB37" s="612"/>
      <c r="AC37" s="136">
        <v>4</v>
      </c>
      <c r="AD37" s="18"/>
      <c r="AE37" s="14">
        <f t="shared" si="8"/>
        <v>-115.57377049180332</v>
      </c>
      <c r="AF37" s="534">
        <f t="shared" si="9"/>
        <v>0.9518442622950819</v>
      </c>
      <c r="AG37" s="616">
        <f>AF41</f>
        <v>0.95704556730971857</v>
      </c>
    </row>
    <row r="38" spans="1:33" ht="15.75" customHeight="1">
      <c r="A38" s="629" t="s">
        <v>282</v>
      </c>
      <c r="B38" s="27" t="s">
        <v>20</v>
      </c>
      <c r="C38" s="660" t="s">
        <v>25</v>
      </c>
      <c r="D38" s="660"/>
      <c r="E38" s="27">
        <v>24.43</v>
      </c>
      <c r="F38" s="540">
        <v>5498</v>
      </c>
      <c r="G38" s="533">
        <f t="shared" si="27"/>
        <v>134316.13999999998</v>
      </c>
      <c r="H38" s="31" t="s">
        <v>40</v>
      </c>
      <c r="I38" s="538">
        <v>14</v>
      </c>
      <c r="J38" s="29">
        <v>2400</v>
      </c>
      <c r="K38" s="12">
        <f t="shared" si="1"/>
        <v>171.42857142857142</v>
      </c>
      <c r="L38" s="538">
        <v>14</v>
      </c>
      <c r="M38" s="13">
        <f t="shared" si="28"/>
        <v>2290.833333333333</v>
      </c>
      <c r="N38" s="12">
        <f t="shared" si="3"/>
        <v>163.63095238095235</v>
      </c>
      <c r="O38" s="14">
        <f t="shared" si="4"/>
        <v>0</v>
      </c>
      <c r="P38" s="15">
        <f t="shared" si="5"/>
        <v>-7.7976190476190652</v>
      </c>
      <c r="Q38" s="534">
        <f t="shared" si="6"/>
        <v>0.95451388888888877</v>
      </c>
      <c r="R38" s="616"/>
      <c r="S38" s="32">
        <v>0.18680555555555553</v>
      </c>
      <c r="T38" s="32">
        <v>0.28680555555555554</v>
      </c>
      <c r="U38" s="533">
        <f t="shared" ref="U38:U40" si="30">(S38-T37)*24*60</f>
        <v>26.999999999999986</v>
      </c>
      <c r="V38" s="539">
        <f t="shared" si="29"/>
        <v>144.00000000000003</v>
      </c>
      <c r="W38" s="533"/>
      <c r="X38" s="533"/>
      <c r="Y38" s="533"/>
      <c r="Z38" s="533"/>
      <c r="AA38" s="612"/>
      <c r="AB38" s="612"/>
      <c r="AC38" s="136"/>
      <c r="AD38" s="18"/>
      <c r="AE38" s="14">
        <f t="shared" si="8"/>
        <v>-109.16666666666697</v>
      </c>
      <c r="AF38" s="534">
        <f t="shared" si="9"/>
        <v>0.95451388888888877</v>
      </c>
      <c r="AG38" s="616"/>
    </row>
    <row r="39" spans="1:33">
      <c r="A39" s="630" t="s">
        <v>282</v>
      </c>
      <c r="B39" s="27" t="s">
        <v>20</v>
      </c>
      <c r="C39" s="660" t="s">
        <v>83</v>
      </c>
      <c r="D39" s="660"/>
      <c r="E39" s="27">
        <v>25.98</v>
      </c>
      <c r="F39" s="540">
        <v>2817</v>
      </c>
      <c r="G39" s="533">
        <f t="shared" si="27"/>
        <v>73185.66</v>
      </c>
      <c r="H39" s="31" t="s">
        <v>40</v>
      </c>
      <c r="I39" s="538">
        <v>20</v>
      </c>
      <c r="J39" s="29">
        <v>2400</v>
      </c>
      <c r="K39" s="12">
        <f t="shared" si="1"/>
        <v>120</v>
      </c>
      <c r="L39" s="538">
        <v>20</v>
      </c>
      <c r="M39" s="13">
        <f t="shared" si="28"/>
        <v>2315.3424657534251</v>
      </c>
      <c r="N39" s="12">
        <f t="shared" si="3"/>
        <v>115.76712328767125</v>
      </c>
      <c r="O39" s="14">
        <f t="shared" si="4"/>
        <v>0</v>
      </c>
      <c r="P39" s="15">
        <f t="shared" si="5"/>
        <v>-4.2328767123287463</v>
      </c>
      <c r="Q39" s="534">
        <f t="shared" si="6"/>
        <v>0.96472602739726043</v>
      </c>
      <c r="R39" s="616"/>
      <c r="S39" s="32">
        <v>0.29097222222222219</v>
      </c>
      <c r="T39" s="32">
        <v>0.34166666666666662</v>
      </c>
      <c r="U39" s="533">
        <f t="shared" si="30"/>
        <v>5.9999999999999787</v>
      </c>
      <c r="V39" s="539">
        <f t="shared" si="29"/>
        <v>72.999999999999986</v>
      </c>
      <c r="W39" s="533"/>
      <c r="X39" s="533"/>
      <c r="Y39" s="533"/>
      <c r="Z39" s="533"/>
      <c r="AA39" s="612"/>
      <c r="AB39" s="612"/>
      <c r="AC39" s="136"/>
      <c r="AD39" s="18"/>
      <c r="AE39" s="14">
        <f t="shared" si="8"/>
        <v>-84.657534246574869</v>
      </c>
      <c r="AF39" s="534">
        <f t="shared" si="9"/>
        <v>0.96472602739726043</v>
      </c>
      <c r="AG39" s="616"/>
    </row>
    <row r="40" spans="1:33">
      <c r="A40" s="630" t="s">
        <v>282</v>
      </c>
      <c r="B40" s="27" t="s">
        <v>20</v>
      </c>
      <c r="C40" s="660" t="s">
        <v>26</v>
      </c>
      <c r="D40" s="660"/>
      <c r="E40" s="27">
        <v>34.1</v>
      </c>
      <c r="F40" s="540">
        <v>4926</v>
      </c>
      <c r="G40" s="533">
        <f t="shared" si="27"/>
        <v>167976.6</v>
      </c>
      <c r="H40" s="31" t="s">
        <v>40</v>
      </c>
      <c r="I40" s="538">
        <v>17</v>
      </c>
      <c r="J40" s="29">
        <v>1600</v>
      </c>
      <c r="K40" s="12">
        <f t="shared" si="1"/>
        <v>94.117647058823536</v>
      </c>
      <c r="L40" s="538">
        <v>17</v>
      </c>
      <c r="M40" s="13">
        <f t="shared" si="28"/>
        <v>1531.3989637305697</v>
      </c>
      <c r="N40" s="12">
        <f t="shared" si="3"/>
        <v>90.082291984151155</v>
      </c>
      <c r="O40" s="14">
        <f t="shared" si="4"/>
        <v>0</v>
      </c>
      <c r="P40" s="15">
        <f t="shared" si="5"/>
        <v>-4.0353550746723812</v>
      </c>
      <c r="Q40" s="534">
        <f t="shared" si="6"/>
        <v>0.95712435233160598</v>
      </c>
      <c r="R40" s="616"/>
      <c r="S40" s="32">
        <v>0.34652777777777771</v>
      </c>
      <c r="T40" s="32">
        <v>0.48055555555555551</v>
      </c>
      <c r="U40" s="533">
        <f t="shared" si="30"/>
        <v>6.9999999999999751</v>
      </c>
      <c r="V40" s="539">
        <f t="shared" si="29"/>
        <v>193.00000000000003</v>
      </c>
      <c r="W40" s="16"/>
      <c r="X40" s="16"/>
      <c r="Y40" s="16"/>
      <c r="Z40" s="16"/>
      <c r="AA40" s="612"/>
      <c r="AB40" s="612"/>
      <c r="AC40" s="136"/>
      <c r="AD40" s="18"/>
      <c r="AE40" s="14">
        <f t="shared" si="8"/>
        <v>-68.601036269430324</v>
      </c>
      <c r="AF40" s="534">
        <f t="shared" si="9"/>
        <v>0.95712435233160609</v>
      </c>
      <c r="AG40" s="616"/>
    </row>
    <row r="41" spans="1:33">
      <c r="A41" s="630" t="s">
        <v>282</v>
      </c>
      <c r="B41" s="28" t="s">
        <v>275</v>
      </c>
      <c r="C41" s="658"/>
      <c r="D41" s="658"/>
      <c r="E41" s="535"/>
      <c r="F41" s="28"/>
      <c r="G41" s="12"/>
      <c r="H41" s="540"/>
      <c r="I41" s="21">
        <v>17.75</v>
      </c>
      <c r="J41" s="29">
        <v>2200</v>
      </c>
      <c r="K41" s="12">
        <f t="shared" si="1"/>
        <v>123.94366197183099</v>
      </c>
      <c r="L41" s="21">
        <v>17.75</v>
      </c>
      <c r="M41" s="13">
        <f>AVERAGE(M37:M40)</f>
        <v>2105.500248081381</v>
      </c>
      <c r="N41" s="12">
        <f t="shared" si="3"/>
        <v>118.61973228627498</v>
      </c>
      <c r="O41" s="14">
        <f t="shared" si="4"/>
        <v>0</v>
      </c>
      <c r="P41" s="15">
        <f t="shared" si="5"/>
        <v>-5.3239296855560099</v>
      </c>
      <c r="Q41" s="534">
        <f t="shared" si="6"/>
        <v>0.95704556730971857</v>
      </c>
      <c r="R41" s="616"/>
      <c r="S41" s="32"/>
      <c r="T41" s="32"/>
      <c r="U41" s="12"/>
      <c r="V41" s="539"/>
      <c r="W41" s="12"/>
      <c r="X41" s="12"/>
      <c r="Y41" s="22">
        <f>SUM(Y37:Y40)</f>
        <v>0</v>
      </c>
      <c r="Z41" s="22">
        <f>SUM(Z37:Z40)</f>
        <v>0</v>
      </c>
      <c r="AA41" s="611"/>
      <c r="AB41" s="611"/>
      <c r="AC41" s="22">
        <v>4</v>
      </c>
      <c r="AD41" s="22">
        <f>SUM(AD37:AD40)</f>
        <v>0</v>
      </c>
      <c r="AE41" s="14">
        <f t="shared" si="8"/>
        <v>-94.49975191861904</v>
      </c>
      <c r="AF41" s="534">
        <f t="shared" si="9"/>
        <v>0.95704556730971857</v>
      </c>
      <c r="AG41" s="616"/>
    </row>
    <row r="42" spans="1:33" ht="15.75" customHeight="1">
      <c r="A42" s="623" t="s">
        <v>75</v>
      </c>
      <c r="B42" s="27" t="s">
        <v>27</v>
      </c>
      <c r="C42" s="605" t="s">
        <v>29</v>
      </c>
      <c r="D42" s="606"/>
      <c r="E42" s="27">
        <v>21.13</v>
      </c>
      <c r="F42" s="540">
        <v>4301</v>
      </c>
      <c r="G42" s="533">
        <f t="shared" ref="G42:G45" si="31">E42*F42</f>
        <v>90880.12999999999</v>
      </c>
      <c r="H42" s="31" t="s">
        <v>40</v>
      </c>
      <c r="I42" s="538">
        <v>10</v>
      </c>
      <c r="J42" s="29">
        <v>3000</v>
      </c>
      <c r="K42" s="12">
        <f t="shared" si="1"/>
        <v>300</v>
      </c>
      <c r="L42" s="538">
        <v>10</v>
      </c>
      <c r="M42" s="13">
        <f t="shared" ref="M42:M45" si="32">F42/V42*60</f>
        <v>2867.3333333333317</v>
      </c>
      <c r="N42" s="13">
        <f t="shared" si="3"/>
        <v>286.73333333333318</v>
      </c>
      <c r="O42" s="14">
        <f t="shared" si="4"/>
        <v>0</v>
      </c>
      <c r="P42" s="15">
        <f t="shared" si="5"/>
        <v>-13.266666666666822</v>
      </c>
      <c r="Q42" s="534">
        <f t="shared" si="6"/>
        <v>0.95577777777777728</v>
      </c>
      <c r="R42" s="626">
        <f>Q46</f>
        <v>0.95813931207681302</v>
      </c>
      <c r="S42" s="32">
        <v>0.20833333333333334</v>
      </c>
      <c r="T42" s="32">
        <v>0.27083333333333337</v>
      </c>
      <c r="U42" s="20"/>
      <c r="V42" s="539">
        <f t="shared" ref="V42:V45" si="33">(T42-S42)*24*60</f>
        <v>90.000000000000043</v>
      </c>
      <c r="W42" s="16"/>
      <c r="X42" s="16"/>
      <c r="Y42" s="19"/>
      <c r="Z42" s="19"/>
      <c r="AA42" s="607"/>
      <c r="AB42" s="608"/>
      <c r="AC42" s="136">
        <v>4</v>
      </c>
      <c r="AD42" s="18"/>
      <c r="AE42" s="14">
        <f t="shared" si="8"/>
        <v>-132.66666666666833</v>
      </c>
      <c r="AF42" s="534">
        <f t="shared" si="9"/>
        <v>0.95577777777777717</v>
      </c>
      <c r="AG42" s="626">
        <f>AF46</f>
        <v>0.95813931207681302</v>
      </c>
    </row>
    <row r="43" spans="1:33" ht="15.75" customHeight="1">
      <c r="A43" s="624" t="s">
        <v>75</v>
      </c>
      <c r="B43" s="27" t="s">
        <v>27</v>
      </c>
      <c r="C43" s="605" t="s">
        <v>30</v>
      </c>
      <c r="D43" s="606"/>
      <c r="E43" s="27">
        <v>27.17</v>
      </c>
      <c r="F43" s="540">
        <v>3701</v>
      </c>
      <c r="G43" s="533">
        <f t="shared" si="31"/>
        <v>100556.17000000001</v>
      </c>
      <c r="H43" s="31" t="s">
        <v>40</v>
      </c>
      <c r="I43" s="538">
        <v>10</v>
      </c>
      <c r="J43" s="29">
        <v>3000</v>
      </c>
      <c r="K43" s="12">
        <f t="shared" si="1"/>
        <v>300</v>
      </c>
      <c r="L43" s="538">
        <v>10</v>
      </c>
      <c r="M43" s="13">
        <f t="shared" si="32"/>
        <v>2883.896103896102</v>
      </c>
      <c r="N43" s="13">
        <f t="shared" si="3"/>
        <v>288.3896103896102</v>
      </c>
      <c r="O43" s="14">
        <f t="shared" si="4"/>
        <v>0</v>
      </c>
      <c r="P43" s="15">
        <f t="shared" si="5"/>
        <v>-11.610389610389802</v>
      </c>
      <c r="Q43" s="534">
        <f t="shared" si="6"/>
        <v>0.96129870129870065</v>
      </c>
      <c r="R43" s="627"/>
      <c r="S43" s="32">
        <v>0.27430555555555558</v>
      </c>
      <c r="T43" s="32">
        <v>0.32777777777777783</v>
      </c>
      <c r="U43" s="533">
        <f t="shared" ref="U43:U45" si="34">(S43-T42)*24*60</f>
        <v>4.9999999999999822</v>
      </c>
      <c r="V43" s="539">
        <f t="shared" si="33"/>
        <v>77.000000000000043</v>
      </c>
      <c r="W43" s="16"/>
      <c r="X43" s="16"/>
      <c r="Y43" s="19"/>
      <c r="Z43" s="19"/>
      <c r="AA43" s="607"/>
      <c r="AB43" s="608"/>
      <c r="AC43" s="136"/>
      <c r="AD43" s="18"/>
      <c r="AE43" s="14">
        <f t="shared" si="8"/>
        <v>-116.10389610389802</v>
      </c>
      <c r="AF43" s="534">
        <f t="shared" si="9"/>
        <v>0.96129870129870065</v>
      </c>
      <c r="AG43" s="627"/>
    </row>
    <row r="44" spans="1:33" ht="15.75" customHeight="1">
      <c r="A44" s="624" t="s">
        <v>75</v>
      </c>
      <c r="B44" s="27" t="s">
        <v>27</v>
      </c>
      <c r="C44" s="605" t="s">
        <v>35</v>
      </c>
      <c r="D44" s="606"/>
      <c r="E44" s="27">
        <v>35.869999999999997</v>
      </c>
      <c r="F44" s="540">
        <v>1546</v>
      </c>
      <c r="G44" s="533">
        <f t="shared" si="31"/>
        <v>55455.02</v>
      </c>
      <c r="H44" s="31" t="s">
        <v>40</v>
      </c>
      <c r="I44" s="538">
        <v>9</v>
      </c>
      <c r="J44" s="29">
        <v>3000</v>
      </c>
      <c r="K44" s="12">
        <f t="shared" si="1"/>
        <v>333.33333333333331</v>
      </c>
      <c r="L44" s="538">
        <v>9</v>
      </c>
      <c r="M44" s="13">
        <f t="shared" si="32"/>
        <v>2898.7500000000036</v>
      </c>
      <c r="N44" s="13">
        <f t="shared" si="3"/>
        <v>322.08333333333371</v>
      </c>
      <c r="O44" s="14">
        <f t="shared" si="4"/>
        <v>0</v>
      </c>
      <c r="P44" s="15">
        <f t="shared" si="5"/>
        <v>-11.249999999999602</v>
      </c>
      <c r="Q44" s="534">
        <f t="shared" si="6"/>
        <v>0.96625000000000116</v>
      </c>
      <c r="R44" s="627"/>
      <c r="S44" s="32">
        <v>0.33263888888888893</v>
      </c>
      <c r="T44" s="32">
        <v>0.35486111111111113</v>
      </c>
      <c r="U44" s="533">
        <f t="shared" si="34"/>
        <v>6.9999999999999751</v>
      </c>
      <c r="V44" s="539">
        <f t="shared" si="33"/>
        <v>31.999999999999964</v>
      </c>
      <c r="W44" s="16"/>
      <c r="X44" s="16"/>
      <c r="Y44" s="19"/>
      <c r="Z44" s="19"/>
      <c r="AA44" s="607"/>
      <c r="AB44" s="608"/>
      <c r="AC44" s="136"/>
      <c r="AD44" s="18"/>
      <c r="AE44" s="14">
        <f t="shared" si="8"/>
        <v>-101.24999999999636</v>
      </c>
      <c r="AF44" s="534">
        <f t="shared" si="9"/>
        <v>0.96625000000000116</v>
      </c>
      <c r="AG44" s="627"/>
    </row>
    <row r="45" spans="1:33" ht="15.75" customHeight="1">
      <c r="A45" s="624" t="s">
        <v>75</v>
      </c>
      <c r="B45" s="27" t="s">
        <v>27</v>
      </c>
      <c r="C45" s="605" t="s">
        <v>36</v>
      </c>
      <c r="D45" s="606"/>
      <c r="E45" s="27">
        <v>34.35</v>
      </c>
      <c r="F45" s="540">
        <v>617</v>
      </c>
      <c r="G45" s="533">
        <f t="shared" si="31"/>
        <v>21193.95</v>
      </c>
      <c r="H45" s="31" t="s">
        <v>40</v>
      </c>
      <c r="I45" s="538">
        <v>8</v>
      </c>
      <c r="J45" s="29">
        <v>3000</v>
      </c>
      <c r="K45" s="12">
        <f t="shared" si="1"/>
        <v>375</v>
      </c>
      <c r="L45" s="538">
        <v>8</v>
      </c>
      <c r="M45" s="13">
        <f t="shared" si="32"/>
        <v>2847.6923076923176</v>
      </c>
      <c r="N45" s="13">
        <f t="shared" si="3"/>
        <v>355.9615384615397</v>
      </c>
      <c r="O45" s="14">
        <f t="shared" si="4"/>
        <v>0</v>
      </c>
      <c r="P45" s="15">
        <f t="shared" si="5"/>
        <v>-19.038461538460297</v>
      </c>
      <c r="Q45" s="534">
        <f t="shared" si="6"/>
        <v>0.94923076923077254</v>
      </c>
      <c r="R45" s="627"/>
      <c r="S45" s="32">
        <v>0.35972222222222222</v>
      </c>
      <c r="T45" s="32">
        <v>0.36874999999999997</v>
      </c>
      <c r="U45" s="533">
        <f t="shared" si="34"/>
        <v>6.9999999999999751</v>
      </c>
      <c r="V45" s="539">
        <f t="shared" si="33"/>
        <v>12.999999999999954</v>
      </c>
      <c r="W45" s="16"/>
      <c r="X45" s="16"/>
      <c r="Y45" s="19"/>
      <c r="Z45" s="19"/>
      <c r="AA45" s="607"/>
      <c r="AB45" s="608"/>
      <c r="AC45" s="136"/>
      <c r="AD45" s="18"/>
      <c r="AE45" s="14">
        <f t="shared" si="8"/>
        <v>-152.30769230768237</v>
      </c>
      <c r="AF45" s="534">
        <f t="shared" si="9"/>
        <v>0.94923076923077254</v>
      </c>
      <c r="AG45" s="627"/>
    </row>
    <row r="46" spans="1:33" ht="15.75" customHeight="1">
      <c r="A46" s="625" t="s">
        <v>75</v>
      </c>
      <c r="B46" s="27" t="s">
        <v>275</v>
      </c>
      <c r="C46" s="609"/>
      <c r="D46" s="610"/>
      <c r="E46" s="531"/>
      <c r="F46" s="540"/>
      <c r="G46" s="533"/>
      <c r="H46" s="540"/>
      <c r="I46" s="21">
        <v>9.25</v>
      </c>
      <c r="J46" s="29">
        <v>3000</v>
      </c>
      <c r="K46" s="12">
        <f t="shared" si="1"/>
        <v>324.32432432432432</v>
      </c>
      <c r="L46" s="21">
        <v>9.25</v>
      </c>
      <c r="M46" s="13">
        <f>AVERAGE(M42:M45)</f>
        <v>2874.417936230439</v>
      </c>
      <c r="N46" s="12">
        <f t="shared" si="3"/>
        <v>310.74788499788531</v>
      </c>
      <c r="O46" s="14">
        <f t="shared" si="4"/>
        <v>0</v>
      </c>
      <c r="P46" s="15">
        <f t="shared" si="5"/>
        <v>-13.576439326439015</v>
      </c>
      <c r="Q46" s="534">
        <f t="shared" si="6"/>
        <v>0.95813931207681302</v>
      </c>
      <c r="R46" s="628"/>
      <c r="S46" s="32"/>
      <c r="T46" s="32"/>
      <c r="U46" s="533"/>
      <c r="V46" s="539"/>
      <c r="W46" s="16"/>
      <c r="X46" s="16"/>
      <c r="Y46" s="22">
        <f>SUM(Y42:Y45)</f>
        <v>0</v>
      </c>
      <c r="Z46" s="22">
        <f>SUM(Z42:Z45)</f>
        <v>0</v>
      </c>
      <c r="AA46" s="619"/>
      <c r="AB46" s="620"/>
      <c r="AC46" s="22">
        <v>4</v>
      </c>
      <c r="AD46" s="22">
        <f>SUM(AD42:AD45)</f>
        <v>0</v>
      </c>
      <c r="AE46" s="14">
        <f t="shared" si="8"/>
        <v>-125.58206376956105</v>
      </c>
      <c r="AF46" s="534">
        <f t="shared" si="9"/>
        <v>0.95813931207681302</v>
      </c>
      <c r="AG46" s="628"/>
    </row>
    <row r="47" spans="1:33" ht="15.75" customHeight="1">
      <c r="A47" s="621" t="s">
        <v>284</v>
      </c>
      <c r="B47" s="27" t="s">
        <v>11</v>
      </c>
      <c r="C47" s="660" t="s">
        <v>2492</v>
      </c>
      <c r="D47" s="660"/>
      <c r="E47" s="27">
        <v>51.44</v>
      </c>
      <c r="F47" s="30">
        <v>5041</v>
      </c>
      <c r="G47" s="533">
        <f t="shared" ref="G47:G55" si="35">E47*F47</f>
        <v>259309.03999999998</v>
      </c>
      <c r="H47" s="31" t="s">
        <v>40</v>
      </c>
      <c r="I47" s="538">
        <v>18</v>
      </c>
      <c r="J47" s="29">
        <v>2000</v>
      </c>
      <c r="K47" s="12">
        <f t="shared" si="1"/>
        <v>111.11111111111111</v>
      </c>
      <c r="L47" s="538">
        <v>18</v>
      </c>
      <c r="M47" s="13">
        <f t="shared" ref="M47" si="36">F47/V47*60</f>
        <v>1902.2641509433965</v>
      </c>
      <c r="N47" s="13">
        <f t="shared" si="3"/>
        <v>105.68134171907758</v>
      </c>
      <c r="O47" s="14">
        <f t="shared" si="4"/>
        <v>0</v>
      </c>
      <c r="P47" s="15">
        <f t="shared" si="5"/>
        <v>-5.4297693920335348</v>
      </c>
      <c r="Q47" s="534">
        <f t="shared" si="6"/>
        <v>0.9511320754716982</v>
      </c>
      <c r="R47" s="616">
        <f>Q56</f>
        <v>0.96276796862361869</v>
      </c>
      <c r="S47" s="32">
        <v>8.3333333333333329E-2</v>
      </c>
      <c r="T47" s="32">
        <v>0.19374999999999998</v>
      </c>
      <c r="U47" s="20"/>
      <c r="V47" s="539">
        <f t="shared" ref="V47:V55" si="37">(T47-S47)*24*60</f>
        <v>158.99999999999997</v>
      </c>
      <c r="W47" s="16">
        <f>T47</f>
        <v>0.19374999999999998</v>
      </c>
      <c r="X47" s="16">
        <f>S48</f>
        <v>0.21319444444444441</v>
      </c>
      <c r="Y47" s="20"/>
      <c r="Z47" s="20"/>
      <c r="AA47" s="612"/>
      <c r="AB47" s="612"/>
      <c r="AC47" s="136">
        <v>9</v>
      </c>
      <c r="AD47" s="18"/>
      <c r="AE47" s="14">
        <f t="shared" si="8"/>
        <v>-97.735849056603456</v>
      </c>
      <c r="AF47" s="534">
        <f t="shared" si="9"/>
        <v>0.95113207547169831</v>
      </c>
      <c r="AG47" s="616">
        <f>AF56</f>
        <v>0.9627679686236188</v>
      </c>
    </row>
    <row r="48" spans="1:33" ht="15.75" customHeight="1">
      <c r="A48" s="621" t="s">
        <v>284</v>
      </c>
      <c r="B48" s="27" t="s">
        <v>5</v>
      </c>
      <c r="C48" s="660" t="s">
        <v>15</v>
      </c>
      <c r="D48" s="660"/>
      <c r="E48" s="27">
        <v>59.04</v>
      </c>
      <c r="F48" s="30">
        <v>1313</v>
      </c>
      <c r="G48" s="533">
        <f t="shared" si="35"/>
        <v>77519.520000000004</v>
      </c>
      <c r="H48" s="31" t="s">
        <v>40</v>
      </c>
      <c r="I48" s="538">
        <v>19</v>
      </c>
      <c r="J48" s="29">
        <v>2000</v>
      </c>
      <c r="K48" s="12">
        <f t="shared" si="1"/>
        <v>105.26315789473684</v>
      </c>
      <c r="L48" s="538">
        <v>19</v>
      </c>
      <c r="M48" s="13">
        <f>F48/V48*60</f>
        <v>1921.4634146341459</v>
      </c>
      <c r="N48" s="13">
        <f t="shared" si="3"/>
        <v>101.12965340179716</v>
      </c>
      <c r="O48" s="14">
        <f t="shared" si="4"/>
        <v>0</v>
      </c>
      <c r="P48" s="15">
        <f t="shared" si="5"/>
        <v>-4.1335044929396787</v>
      </c>
      <c r="Q48" s="534">
        <f t="shared" si="6"/>
        <v>0.96073170731707302</v>
      </c>
      <c r="R48" s="616"/>
      <c r="S48" s="32">
        <v>0.21319444444444441</v>
      </c>
      <c r="T48" s="32">
        <v>0.24166666666666664</v>
      </c>
      <c r="U48" s="533">
        <f t="shared" ref="U48:U55" si="38">IF(S48=TIME(17,0,0),"",(S48-T47)*24*60)</f>
        <v>27.999999999999979</v>
      </c>
      <c r="V48" s="539">
        <f t="shared" si="37"/>
        <v>41.000000000000014</v>
      </c>
      <c r="W48" s="16"/>
      <c r="X48" s="16"/>
      <c r="Y48" s="16"/>
      <c r="Z48" s="16"/>
      <c r="AA48" s="612"/>
      <c r="AB48" s="612"/>
      <c r="AC48" s="136"/>
      <c r="AD48" s="18"/>
      <c r="AE48" s="14">
        <f t="shared" si="8"/>
        <v>-78.53658536585408</v>
      </c>
      <c r="AF48" s="534">
        <f t="shared" si="9"/>
        <v>0.96073170731707291</v>
      </c>
      <c r="AG48" s="616"/>
    </row>
    <row r="49" spans="1:33" ht="15.75" customHeight="1">
      <c r="A49" s="621" t="s">
        <v>284</v>
      </c>
      <c r="B49" s="27" t="s">
        <v>5</v>
      </c>
      <c r="C49" s="605" t="s">
        <v>31</v>
      </c>
      <c r="D49" s="606"/>
      <c r="E49" s="27">
        <v>56.43</v>
      </c>
      <c r="F49" s="30">
        <v>927</v>
      </c>
      <c r="G49" s="533">
        <f t="shared" si="35"/>
        <v>52310.61</v>
      </c>
      <c r="H49" s="31" t="s">
        <v>40</v>
      </c>
      <c r="I49" s="538">
        <v>22</v>
      </c>
      <c r="J49" s="29">
        <v>2000</v>
      </c>
      <c r="K49" s="12">
        <f t="shared" si="1"/>
        <v>90.909090909090907</v>
      </c>
      <c r="L49" s="538">
        <v>22</v>
      </c>
      <c r="M49" s="13">
        <f t="shared" ref="M49:M55" si="39">F49/V49*60</f>
        <v>1917.9310344827575</v>
      </c>
      <c r="N49" s="13">
        <f t="shared" si="3"/>
        <v>87.178683385579887</v>
      </c>
      <c r="O49" s="14">
        <f t="shared" si="4"/>
        <v>0</v>
      </c>
      <c r="P49" s="15">
        <f t="shared" si="5"/>
        <v>-3.730407523511019</v>
      </c>
      <c r="Q49" s="534">
        <f t="shared" si="6"/>
        <v>0.9589655172413788</v>
      </c>
      <c r="R49" s="616"/>
      <c r="S49" s="32">
        <v>0.24583333333333332</v>
      </c>
      <c r="T49" s="32">
        <v>0.26597222222222222</v>
      </c>
      <c r="U49" s="533">
        <f t="shared" si="38"/>
        <v>6.0000000000000187</v>
      </c>
      <c r="V49" s="539">
        <f t="shared" si="37"/>
        <v>29.000000000000018</v>
      </c>
      <c r="W49" s="16"/>
      <c r="X49" s="16"/>
      <c r="Y49" s="19"/>
      <c r="Z49" s="19"/>
      <c r="AA49" s="612"/>
      <c r="AB49" s="612"/>
      <c r="AC49" s="136"/>
      <c r="AD49" s="18"/>
      <c r="AE49" s="14">
        <f t="shared" si="8"/>
        <v>-82.068965517242532</v>
      </c>
      <c r="AF49" s="534">
        <f t="shared" si="9"/>
        <v>0.95896551724137868</v>
      </c>
      <c r="AG49" s="616"/>
    </row>
    <row r="50" spans="1:33" ht="15.75" customHeight="1">
      <c r="A50" s="621" t="s">
        <v>284</v>
      </c>
      <c r="B50" s="27" t="s">
        <v>5</v>
      </c>
      <c r="C50" s="527" t="s">
        <v>81</v>
      </c>
      <c r="D50" s="528"/>
      <c r="E50" s="27">
        <v>51.44</v>
      </c>
      <c r="F50" s="30">
        <v>1344</v>
      </c>
      <c r="G50" s="533">
        <f t="shared" si="35"/>
        <v>69135.360000000001</v>
      </c>
      <c r="H50" s="31" t="s">
        <v>40</v>
      </c>
      <c r="I50" s="538">
        <v>25</v>
      </c>
      <c r="J50" s="29">
        <v>2000</v>
      </c>
      <c r="K50" s="12">
        <f t="shared" si="1"/>
        <v>80</v>
      </c>
      <c r="L50" s="538">
        <v>25</v>
      </c>
      <c r="M50" s="13">
        <f t="shared" si="39"/>
        <v>1919.9999999999993</v>
      </c>
      <c r="N50" s="13">
        <f t="shared" si="3"/>
        <v>76.799999999999969</v>
      </c>
      <c r="O50" s="14">
        <f t="shared" si="4"/>
        <v>0</v>
      </c>
      <c r="P50" s="15">
        <f t="shared" si="5"/>
        <v>-3.2000000000000313</v>
      </c>
      <c r="Q50" s="534">
        <f t="shared" si="6"/>
        <v>0.95999999999999963</v>
      </c>
      <c r="R50" s="616"/>
      <c r="S50" s="32">
        <v>0.27013888888888887</v>
      </c>
      <c r="T50" s="32">
        <v>0.29930555555555555</v>
      </c>
      <c r="U50" s="533">
        <f t="shared" si="38"/>
        <v>5.9999999999999787</v>
      </c>
      <c r="V50" s="539">
        <f t="shared" si="37"/>
        <v>42.000000000000014</v>
      </c>
      <c r="W50" s="16"/>
      <c r="X50" s="16"/>
      <c r="Y50" s="19"/>
      <c r="Z50" s="19"/>
      <c r="AA50" s="612"/>
      <c r="AB50" s="612"/>
      <c r="AC50" s="136"/>
      <c r="AD50" s="18"/>
      <c r="AE50" s="14">
        <f t="shared" si="8"/>
        <v>-80.000000000000682</v>
      </c>
      <c r="AF50" s="534">
        <f t="shared" si="9"/>
        <v>0.95999999999999963</v>
      </c>
      <c r="AG50" s="616"/>
    </row>
    <row r="51" spans="1:33" ht="15.75" customHeight="1">
      <c r="A51" s="621" t="s">
        <v>284</v>
      </c>
      <c r="B51" s="27" t="s">
        <v>8</v>
      </c>
      <c r="C51" s="527" t="s">
        <v>61</v>
      </c>
      <c r="D51" s="528"/>
      <c r="E51" s="27">
        <v>46</v>
      </c>
      <c r="F51" s="30">
        <v>1353</v>
      </c>
      <c r="G51" s="533">
        <f t="shared" si="35"/>
        <v>62238</v>
      </c>
      <c r="H51" s="31" t="s">
        <v>40</v>
      </c>
      <c r="I51" s="538">
        <v>16</v>
      </c>
      <c r="J51" s="29">
        <v>2000</v>
      </c>
      <c r="K51" s="12">
        <f t="shared" si="1"/>
        <v>125</v>
      </c>
      <c r="L51" s="538">
        <v>16</v>
      </c>
      <c r="M51" s="13">
        <f t="shared" si="39"/>
        <v>1932.857142857142</v>
      </c>
      <c r="N51" s="13">
        <f t="shared" si="3"/>
        <v>120.80357142857137</v>
      </c>
      <c r="O51" s="14">
        <f t="shared" si="4"/>
        <v>0</v>
      </c>
      <c r="P51" s="15">
        <f t="shared" si="5"/>
        <v>-4.1964285714286262</v>
      </c>
      <c r="Q51" s="534">
        <f t="shared" si="6"/>
        <v>0.96642857142857097</v>
      </c>
      <c r="R51" s="616"/>
      <c r="S51" s="32">
        <v>0.30486111111111108</v>
      </c>
      <c r="T51" s="32">
        <v>0.33402777777777776</v>
      </c>
      <c r="U51" s="533">
        <f t="shared" si="38"/>
        <v>7.9999999999999716</v>
      </c>
      <c r="V51" s="539">
        <f t="shared" si="37"/>
        <v>42.000000000000014</v>
      </c>
      <c r="W51" s="16"/>
      <c r="X51" s="16"/>
      <c r="Y51" s="19"/>
      <c r="Z51" s="19"/>
      <c r="AA51" s="612"/>
      <c r="AB51" s="612"/>
      <c r="AC51" s="136"/>
      <c r="AD51" s="18"/>
      <c r="AE51" s="14">
        <f t="shared" si="8"/>
        <v>-67.14285714285802</v>
      </c>
      <c r="AF51" s="534">
        <f t="shared" si="9"/>
        <v>0.96642857142857097</v>
      </c>
      <c r="AG51" s="616"/>
    </row>
    <row r="52" spans="1:33" ht="15.75" customHeight="1">
      <c r="A52" s="621" t="s">
        <v>284</v>
      </c>
      <c r="B52" s="27" t="s">
        <v>8</v>
      </c>
      <c r="C52" s="605" t="s">
        <v>79</v>
      </c>
      <c r="D52" s="606"/>
      <c r="E52" s="27">
        <v>46</v>
      </c>
      <c r="F52" s="30">
        <v>1615</v>
      </c>
      <c r="G52" s="533">
        <f t="shared" si="35"/>
        <v>74290</v>
      </c>
      <c r="H52" s="31" t="s">
        <v>40</v>
      </c>
      <c r="I52" s="538">
        <v>17</v>
      </c>
      <c r="J52" s="29">
        <v>2000</v>
      </c>
      <c r="K52" s="12">
        <f t="shared" si="1"/>
        <v>117.64705882352941</v>
      </c>
      <c r="L52" s="538">
        <v>17</v>
      </c>
      <c r="M52" s="13">
        <f t="shared" si="39"/>
        <v>1938.0000000000007</v>
      </c>
      <c r="N52" s="13">
        <f t="shared" si="3"/>
        <v>114.00000000000004</v>
      </c>
      <c r="O52" s="14">
        <f t="shared" si="4"/>
        <v>0</v>
      </c>
      <c r="P52" s="15">
        <f t="shared" si="5"/>
        <v>-3.6470588235293633</v>
      </c>
      <c r="Q52" s="534">
        <f t="shared" si="6"/>
        <v>0.96900000000000042</v>
      </c>
      <c r="R52" s="616"/>
      <c r="S52" s="32">
        <v>0.33819444444444441</v>
      </c>
      <c r="T52" s="32">
        <v>0.37291666666666662</v>
      </c>
      <c r="U52" s="533">
        <f t="shared" si="38"/>
        <v>5.9999999999999787</v>
      </c>
      <c r="V52" s="539">
        <f t="shared" si="37"/>
        <v>49.999999999999986</v>
      </c>
      <c r="W52" s="16"/>
      <c r="X52" s="16"/>
      <c r="Y52" s="19"/>
      <c r="Z52" s="19"/>
      <c r="AA52" s="607"/>
      <c r="AB52" s="608"/>
      <c r="AC52" s="136"/>
      <c r="AD52" s="18"/>
      <c r="AE52" s="14">
        <f t="shared" si="8"/>
        <v>-61.999999999999318</v>
      </c>
      <c r="AF52" s="534">
        <f t="shared" si="9"/>
        <v>0.96900000000000031</v>
      </c>
      <c r="AG52" s="616"/>
    </row>
    <row r="53" spans="1:33" ht="15.75" customHeight="1">
      <c r="A53" s="621" t="s">
        <v>284</v>
      </c>
      <c r="B53" s="27" t="s">
        <v>5</v>
      </c>
      <c r="C53" s="605" t="s">
        <v>32</v>
      </c>
      <c r="D53" s="606"/>
      <c r="E53" s="27">
        <v>55.56</v>
      </c>
      <c r="F53" s="30">
        <v>2413</v>
      </c>
      <c r="G53" s="533">
        <f t="shared" si="35"/>
        <v>134066.28</v>
      </c>
      <c r="H53" s="31" t="s">
        <v>40</v>
      </c>
      <c r="I53" s="538">
        <v>17</v>
      </c>
      <c r="J53" s="29">
        <v>2000</v>
      </c>
      <c r="K53" s="12">
        <f t="shared" si="1"/>
        <v>117.64705882352941</v>
      </c>
      <c r="L53" s="538">
        <v>17</v>
      </c>
      <c r="M53" s="13">
        <f t="shared" si="39"/>
        <v>1904.9999999999984</v>
      </c>
      <c r="N53" s="13">
        <f t="shared" si="3"/>
        <v>112.05882352941167</v>
      </c>
      <c r="O53" s="14">
        <f t="shared" si="4"/>
        <v>0</v>
      </c>
      <c r="P53" s="15">
        <f t="shared" si="5"/>
        <v>-5.5882352941177373</v>
      </c>
      <c r="Q53" s="534">
        <f t="shared" si="6"/>
        <v>0.95249999999999924</v>
      </c>
      <c r="R53" s="616"/>
      <c r="S53" s="32">
        <v>0.70833333333333337</v>
      </c>
      <c r="T53" s="32">
        <v>0.76111111111111118</v>
      </c>
      <c r="U53" s="533" t="str">
        <f t="shared" si="38"/>
        <v/>
      </c>
      <c r="V53" s="539">
        <f t="shared" si="37"/>
        <v>76.000000000000057</v>
      </c>
      <c r="W53" s="16"/>
      <c r="X53" s="16"/>
      <c r="Y53" s="19"/>
      <c r="Z53" s="19"/>
      <c r="AA53" s="607"/>
      <c r="AB53" s="608"/>
      <c r="AC53" s="136"/>
      <c r="AD53" s="18"/>
      <c r="AE53" s="14">
        <f t="shared" si="8"/>
        <v>-95.000000000001592</v>
      </c>
      <c r="AF53" s="534">
        <f t="shared" si="9"/>
        <v>0.95249999999999924</v>
      </c>
      <c r="AG53" s="616"/>
    </row>
    <row r="54" spans="1:33" ht="15.75" customHeight="1">
      <c r="A54" s="621" t="s">
        <v>284</v>
      </c>
      <c r="B54" s="27" t="s">
        <v>5</v>
      </c>
      <c r="C54" s="605" t="s">
        <v>77</v>
      </c>
      <c r="D54" s="606"/>
      <c r="E54" s="27">
        <v>54.09</v>
      </c>
      <c r="F54" s="30">
        <v>693</v>
      </c>
      <c r="G54" s="533">
        <f t="shared" si="35"/>
        <v>37484.370000000003</v>
      </c>
      <c r="H54" s="31" t="s">
        <v>40</v>
      </c>
      <c r="I54" s="538">
        <v>13</v>
      </c>
      <c r="J54" s="29">
        <v>2000</v>
      </c>
      <c r="K54" s="12">
        <f t="shared" si="1"/>
        <v>153.84615384615384</v>
      </c>
      <c r="L54" s="538">
        <v>13</v>
      </c>
      <c r="M54" s="13">
        <f t="shared" si="39"/>
        <v>1980.0000000000068</v>
      </c>
      <c r="N54" s="13">
        <f t="shared" si="3"/>
        <v>152.30769230769283</v>
      </c>
      <c r="O54" s="14">
        <f t="shared" si="4"/>
        <v>0</v>
      </c>
      <c r="P54" s="15">
        <f t="shared" si="5"/>
        <v>-1.5384615384610072</v>
      </c>
      <c r="Q54" s="534">
        <f t="shared" si="6"/>
        <v>0.99000000000000343</v>
      </c>
      <c r="R54" s="616"/>
      <c r="S54" s="32">
        <v>0.76597222222222228</v>
      </c>
      <c r="T54" s="32">
        <v>0.78055555555555556</v>
      </c>
      <c r="U54" s="533">
        <f t="shared" si="38"/>
        <v>6.9999999999999751</v>
      </c>
      <c r="V54" s="539">
        <f t="shared" si="37"/>
        <v>20.999999999999925</v>
      </c>
      <c r="W54" s="16"/>
      <c r="X54" s="16"/>
      <c r="Y54" s="19"/>
      <c r="Z54" s="19"/>
      <c r="AA54" s="607"/>
      <c r="AB54" s="608"/>
      <c r="AC54" s="136"/>
      <c r="AD54" s="18"/>
      <c r="AE54" s="14">
        <f t="shared" si="8"/>
        <v>-19.999999999993179</v>
      </c>
      <c r="AF54" s="534">
        <f t="shared" si="9"/>
        <v>0.99000000000000343</v>
      </c>
      <c r="AG54" s="616"/>
    </row>
    <row r="55" spans="1:33">
      <c r="A55" s="621" t="s">
        <v>284</v>
      </c>
      <c r="B55" s="27" t="s">
        <v>5</v>
      </c>
      <c r="C55" s="527" t="s">
        <v>62</v>
      </c>
      <c r="D55" s="528"/>
      <c r="E55" s="27">
        <v>51.06</v>
      </c>
      <c r="F55" s="30">
        <v>2486</v>
      </c>
      <c r="G55" s="533">
        <f t="shared" si="35"/>
        <v>126935.16</v>
      </c>
      <c r="H55" s="31" t="s">
        <v>40</v>
      </c>
      <c r="I55" s="538">
        <v>13</v>
      </c>
      <c r="J55" s="29">
        <v>2000</v>
      </c>
      <c r="K55" s="12">
        <f t="shared" si="1"/>
        <v>153.84615384615384</v>
      </c>
      <c r="L55" s="538">
        <v>13</v>
      </c>
      <c r="M55" s="13">
        <f t="shared" si="39"/>
        <v>1912.3076923076912</v>
      </c>
      <c r="N55" s="13">
        <f t="shared" si="3"/>
        <v>147.10059171597624</v>
      </c>
      <c r="O55" s="14">
        <f t="shared" si="4"/>
        <v>0</v>
      </c>
      <c r="P55" s="15">
        <f t="shared" si="5"/>
        <v>-6.7455621301776034</v>
      </c>
      <c r="Q55" s="534">
        <f t="shared" si="6"/>
        <v>0.95615384615384558</v>
      </c>
      <c r="R55" s="616"/>
      <c r="S55" s="32">
        <v>0.78472222222222221</v>
      </c>
      <c r="T55" s="32">
        <v>0.83888888888888891</v>
      </c>
      <c r="U55" s="533">
        <f t="shared" si="38"/>
        <v>5.9999999999999787</v>
      </c>
      <c r="V55" s="539">
        <f t="shared" si="37"/>
        <v>78.000000000000043</v>
      </c>
      <c r="W55" s="16"/>
      <c r="X55" s="16"/>
      <c r="Y55" s="19"/>
      <c r="Z55" s="19"/>
      <c r="AA55" s="529"/>
      <c r="AB55" s="530"/>
      <c r="AC55" s="136"/>
      <c r="AD55" s="18"/>
      <c r="AE55" s="14">
        <f t="shared" si="8"/>
        <v>-87.692307692308759</v>
      </c>
      <c r="AF55" s="534">
        <f t="shared" si="9"/>
        <v>0.95615384615384558</v>
      </c>
      <c r="AG55" s="616"/>
    </row>
    <row r="56" spans="1:33">
      <c r="A56" s="622" t="s">
        <v>284</v>
      </c>
      <c r="B56" s="27" t="s">
        <v>275</v>
      </c>
      <c r="C56" s="658"/>
      <c r="D56" s="658"/>
      <c r="E56" s="535"/>
      <c r="F56" s="28"/>
      <c r="G56" s="12"/>
      <c r="H56" s="540"/>
      <c r="I56" s="21">
        <v>17.777777777777779</v>
      </c>
      <c r="J56" s="29">
        <v>2000</v>
      </c>
      <c r="K56" s="12">
        <f t="shared" si="1"/>
        <v>112.5</v>
      </c>
      <c r="L56" s="21">
        <v>17.777777777777779</v>
      </c>
      <c r="M56" s="13">
        <f>AVERAGE(M47:M55)</f>
        <v>1925.5359372472376</v>
      </c>
      <c r="N56" s="12">
        <f t="shared" si="3"/>
        <v>108.31139647015711</v>
      </c>
      <c r="O56" s="14">
        <f t="shared" si="4"/>
        <v>0</v>
      </c>
      <c r="P56" s="15">
        <f t="shared" si="5"/>
        <v>-4.1886035298428936</v>
      </c>
      <c r="Q56" s="534">
        <f t="shared" si="6"/>
        <v>0.96276796862361869</v>
      </c>
      <c r="R56" s="616"/>
      <c r="S56" s="32"/>
      <c r="T56" s="32"/>
      <c r="U56" s="533"/>
      <c r="V56" s="539"/>
      <c r="W56" s="12"/>
      <c r="X56" s="12"/>
      <c r="Y56" s="22">
        <f>SUM(Y47:Y55)</f>
        <v>0</v>
      </c>
      <c r="Z56" s="22">
        <f>SUM(Z47:Z55)</f>
        <v>0</v>
      </c>
      <c r="AA56" s="611"/>
      <c r="AB56" s="611"/>
      <c r="AC56" s="22">
        <v>9</v>
      </c>
      <c r="AD56" s="22">
        <f>SUM(AD47:AD55)</f>
        <v>0</v>
      </c>
      <c r="AE56" s="14">
        <f>M56-J56</f>
        <v>-74.464062752762402</v>
      </c>
      <c r="AF56" s="534">
        <f t="shared" si="9"/>
        <v>0.9627679686236188</v>
      </c>
      <c r="AG56" s="616"/>
    </row>
    <row r="57" spans="1:33" ht="15.75" customHeight="1">
      <c r="A57" s="617" t="s">
        <v>285</v>
      </c>
      <c r="B57" s="540" t="s">
        <v>27</v>
      </c>
      <c r="C57" s="660" t="s">
        <v>28</v>
      </c>
      <c r="D57" s="660"/>
      <c r="E57" s="27">
        <v>35.119999999999997</v>
      </c>
      <c r="F57" s="30">
        <v>3191</v>
      </c>
      <c r="G57" s="533">
        <f t="shared" ref="G57:G60" si="40">E57*F57</f>
        <v>112067.92</v>
      </c>
      <c r="H57" s="31" t="s">
        <v>40</v>
      </c>
      <c r="I57" s="538">
        <v>10</v>
      </c>
      <c r="J57" s="29">
        <v>3000</v>
      </c>
      <c r="K57" s="12">
        <f t="shared" si="1"/>
        <v>300</v>
      </c>
      <c r="L57" s="538">
        <v>10</v>
      </c>
      <c r="M57" s="13">
        <f t="shared" ref="M57:M60" si="41">F57/V57*60</f>
        <v>2857.6119402985096</v>
      </c>
      <c r="N57" s="12">
        <f t="shared" si="3"/>
        <v>285.76119402985097</v>
      </c>
      <c r="O57" s="14">
        <f t="shared" si="4"/>
        <v>0</v>
      </c>
      <c r="P57" s="15">
        <f t="shared" si="5"/>
        <v>-14.238805970149031</v>
      </c>
      <c r="Q57" s="534">
        <f t="shared" si="6"/>
        <v>0.95253731343283654</v>
      </c>
      <c r="R57" s="616">
        <f>Q61</f>
        <v>0.95945113870303678</v>
      </c>
      <c r="S57" s="32">
        <v>0.20833333333333334</v>
      </c>
      <c r="T57" s="32">
        <v>0.25486111111111109</v>
      </c>
      <c r="U57" s="533"/>
      <c r="V57" s="539">
        <f t="shared" ref="V57:V60" si="42">(T57-S57)*24*60</f>
        <v>66.999999999999957</v>
      </c>
      <c r="W57" s="16"/>
      <c r="X57" s="16"/>
      <c r="Y57" s="20"/>
      <c r="Z57" s="20"/>
      <c r="AA57" s="612"/>
      <c r="AB57" s="612"/>
      <c r="AC57" s="136">
        <v>4</v>
      </c>
      <c r="AD57" s="18"/>
      <c r="AE57" s="14">
        <f t="shared" ref="AE57:AE69" si="43">M57-J57</f>
        <v>-142.38805970149042</v>
      </c>
      <c r="AF57" s="534">
        <f t="shared" si="9"/>
        <v>0.95253731343283654</v>
      </c>
      <c r="AG57" s="616">
        <f>AF61</f>
        <v>0.95945113870303689</v>
      </c>
    </row>
    <row r="58" spans="1:33" ht="15.75" customHeight="1">
      <c r="A58" s="617" t="s">
        <v>285</v>
      </c>
      <c r="B58" s="540" t="s">
        <v>27</v>
      </c>
      <c r="C58" s="660" t="s">
        <v>34</v>
      </c>
      <c r="D58" s="660"/>
      <c r="E58" s="27">
        <v>26.78</v>
      </c>
      <c r="F58" s="30">
        <v>1931</v>
      </c>
      <c r="G58" s="533">
        <f t="shared" si="40"/>
        <v>51712.18</v>
      </c>
      <c r="H58" s="31" t="s">
        <v>40</v>
      </c>
      <c r="I58" s="538">
        <v>10</v>
      </c>
      <c r="J58" s="29">
        <v>3000</v>
      </c>
      <c r="K58" s="12">
        <f t="shared" si="1"/>
        <v>300</v>
      </c>
      <c r="L58" s="538">
        <v>10</v>
      </c>
      <c r="M58" s="13">
        <f t="shared" si="41"/>
        <v>2896.4999999999991</v>
      </c>
      <c r="N58" s="12">
        <f t="shared" si="3"/>
        <v>289.64999999999992</v>
      </c>
      <c r="O58" s="14">
        <f t="shared" si="4"/>
        <v>0</v>
      </c>
      <c r="P58" s="15">
        <f t="shared" si="5"/>
        <v>-10.35000000000008</v>
      </c>
      <c r="Q58" s="534">
        <f t="shared" si="6"/>
        <v>0.96549999999999969</v>
      </c>
      <c r="R58" s="616"/>
      <c r="S58" s="32">
        <v>0.25902777777777775</v>
      </c>
      <c r="T58" s="32">
        <v>0.28680555555555554</v>
      </c>
      <c r="U58" s="533">
        <f t="shared" ref="U58:U60" si="44">(S58-T57)*24*60</f>
        <v>5.9999999999999787</v>
      </c>
      <c r="V58" s="539">
        <f t="shared" si="42"/>
        <v>40.000000000000014</v>
      </c>
      <c r="W58" s="533"/>
      <c r="X58" s="533"/>
      <c r="Y58" s="533"/>
      <c r="Z58" s="533"/>
      <c r="AA58" s="612"/>
      <c r="AB58" s="612"/>
      <c r="AC58" s="136"/>
      <c r="AD58" s="18"/>
      <c r="AE58" s="14">
        <f t="shared" si="43"/>
        <v>-103.50000000000091</v>
      </c>
      <c r="AF58" s="534">
        <f t="shared" si="9"/>
        <v>0.96549999999999969</v>
      </c>
      <c r="AG58" s="616"/>
    </row>
    <row r="59" spans="1:33" ht="15.75" customHeight="1">
      <c r="A59" s="617" t="s">
        <v>285</v>
      </c>
      <c r="B59" s="540" t="s">
        <v>27</v>
      </c>
      <c r="C59" s="660" t="s">
        <v>737</v>
      </c>
      <c r="D59" s="660"/>
      <c r="E59" s="27">
        <v>36.14</v>
      </c>
      <c r="F59" s="30">
        <v>1400</v>
      </c>
      <c r="G59" s="533">
        <f t="shared" si="40"/>
        <v>50596</v>
      </c>
      <c r="H59" s="31" t="s">
        <v>40</v>
      </c>
      <c r="I59" s="538">
        <v>11</v>
      </c>
      <c r="J59" s="29">
        <v>3000</v>
      </c>
      <c r="K59" s="12">
        <f t="shared" si="1"/>
        <v>272.72727272727275</v>
      </c>
      <c r="L59" s="538">
        <v>11</v>
      </c>
      <c r="M59" s="13">
        <f t="shared" si="41"/>
        <v>2896.551724137933</v>
      </c>
      <c r="N59" s="12">
        <f t="shared" si="3"/>
        <v>263.32288401253936</v>
      </c>
      <c r="O59" s="14">
        <f t="shared" si="4"/>
        <v>0</v>
      </c>
      <c r="P59" s="15">
        <f t="shared" si="5"/>
        <v>-9.4043887147333862</v>
      </c>
      <c r="Q59" s="534">
        <f t="shared" si="6"/>
        <v>0.96551724137931094</v>
      </c>
      <c r="R59" s="616"/>
      <c r="S59" s="32">
        <v>0.29236111111111107</v>
      </c>
      <c r="T59" s="32">
        <v>0.31249999999999994</v>
      </c>
      <c r="U59" s="533">
        <f t="shared" si="44"/>
        <v>7.9999999999999716</v>
      </c>
      <c r="V59" s="539">
        <f t="shared" si="42"/>
        <v>28.999999999999979</v>
      </c>
      <c r="W59" s="533"/>
      <c r="X59" s="533"/>
      <c r="Y59" s="533"/>
      <c r="Z59" s="533"/>
      <c r="AA59" s="612"/>
      <c r="AB59" s="612"/>
      <c r="AC59" s="136"/>
      <c r="AD59" s="18"/>
      <c r="AE59" s="14">
        <f t="shared" si="43"/>
        <v>-103.44827586206702</v>
      </c>
      <c r="AF59" s="534">
        <f t="shared" si="9"/>
        <v>0.96551724137931094</v>
      </c>
      <c r="AG59" s="616"/>
    </row>
    <row r="60" spans="1:33" ht="15.75" customHeight="1">
      <c r="A60" s="617" t="s">
        <v>285</v>
      </c>
      <c r="B60" s="540" t="s">
        <v>27</v>
      </c>
      <c r="C60" s="660" t="s">
        <v>2493</v>
      </c>
      <c r="D60" s="660"/>
      <c r="E60" s="27">
        <v>35.869999999999997</v>
      </c>
      <c r="F60" s="30">
        <v>3817</v>
      </c>
      <c r="G60" s="533">
        <f t="shared" si="40"/>
        <v>136915.78999999998</v>
      </c>
      <c r="H60" s="31" t="s">
        <v>40</v>
      </c>
      <c r="I60" s="538">
        <v>10</v>
      </c>
      <c r="J60" s="29">
        <v>3000</v>
      </c>
      <c r="K60" s="12">
        <f t="shared" si="1"/>
        <v>300</v>
      </c>
      <c r="L60" s="538">
        <v>10</v>
      </c>
      <c r="M60" s="13">
        <f t="shared" si="41"/>
        <v>2862.7500000000018</v>
      </c>
      <c r="N60" s="12">
        <f t="shared" si="3"/>
        <v>286.2750000000002</v>
      </c>
      <c r="O60" s="14">
        <f t="shared" si="4"/>
        <v>0</v>
      </c>
      <c r="P60" s="15">
        <f t="shared" si="5"/>
        <v>-13.724999999999795</v>
      </c>
      <c r="Q60" s="534">
        <f t="shared" si="6"/>
        <v>0.95425000000000071</v>
      </c>
      <c r="R60" s="616"/>
      <c r="S60" s="32">
        <v>0.31805555555555548</v>
      </c>
      <c r="T60" s="32">
        <v>0.37361111111111101</v>
      </c>
      <c r="U60" s="533">
        <f t="shared" si="44"/>
        <v>7.9999999999999716</v>
      </c>
      <c r="V60" s="539">
        <f t="shared" si="42"/>
        <v>79.999999999999957</v>
      </c>
      <c r="W60" s="533"/>
      <c r="X60" s="533"/>
      <c r="Y60" s="533"/>
      <c r="Z60" s="533"/>
      <c r="AA60" s="612"/>
      <c r="AB60" s="612"/>
      <c r="AC60" s="136"/>
      <c r="AD60" s="18"/>
      <c r="AE60" s="14">
        <f t="shared" si="43"/>
        <v>-137.24999999999818</v>
      </c>
      <c r="AF60" s="534">
        <f t="shared" si="9"/>
        <v>0.9542500000000006</v>
      </c>
      <c r="AG60" s="616"/>
    </row>
    <row r="61" spans="1:33">
      <c r="A61" s="618" t="s">
        <v>285</v>
      </c>
      <c r="B61" s="27" t="s">
        <v>275</v>
      </c>
      <c r="C61" s="658"/>
      <c r="D61" s="658"/>
      <c r="E61" s="535"/>
      <c r="F61" s="28"/>
      <c r="G61" s="12"/>
      <c r="H61" s="540"/>
      <c r="I61" s="21">
        <v>10.25</v>
      </c>
      <c r="J61" s="29">
        <v>3000</v>
      </c>
      <c r="K61" s="12">
        <f t="shared" si="1"/>
        <v>292.6829268292683</v>
      </c>
      <c r="L61" s="21">
        <v>10.25</v>
      </c>
      <c r="M61" s="13">
        <f>AVERAGE(M57:M60)</f>
        <v>2878.3534161091106</v>
      </c>
      <c r="N61" s="12">
        <f t="shared" si="3"/>
        <v>280.81496742527906</v>
      </c>
      <c r="O61" s="14">
        <f t="shared" si="4"/>
        <v>0</v>
      </c>
      <c r="P61" s="15">
        <f t="shared" si="5"/>
        <v>-11.867959403989232</v>
      </c>
      <c r="Q61" s="534">
        <f t="shared" si="6"/>
        <v>0.95945113870303678</v>
      </c>
      <c r="R61" s="616"/>
      <c r="S61" s="32"/>
      <c r="T61" s="32"/>
      <c r="U61" s="12"/>
      <c r="V61" s="539"/>
      <c r="W61" s="12"/>
      <c r="X61" s="12"/>
      <c r="Y61" s="22">
        <f>SUM(Y57:Y60)</f>
        <v>0</v>
      </c>
      <c r="Z61" s="22">
        <f>SUM(Z57:Z60)</f>
        <v>0</v>
      </c>
      <c r="AA61" s="611"/>
      <c r="AB61" s="611"/>
      <c r="AC61" s="22">
        <v>4</v>
      </c>
      <c r="AD61" s="22">
        <f>SUM(AD57:AD60)</f>
        <v>0</v>
      </c>
      <c r="AE61" s="14">
        <f t="shared" si="43"/>
        <v>-121.64658389088936</v>
      </c>
      <c r="AF61" s="534">
        <f t="shared" si="9"/>
        <v>0.95945113870303689</v>
      </c>
      <c r="AG61" s="616"/>
    </row>
    <row r="62" spans="1:33" ht="15.75" customHeight="1">
      <c r="A62" s="613" t="s">
        <v>2750</v>
      </c>
      <c r="B62" s="540" t="s">
        <v>20</v>
      </c>
      <c r="C62" s="660" t="s">
        <v>39</v>
      </c>
      <c r="D62" s="660"/>
      <c r="E62" s="27">
        <v>19.02</v>
      </c>
      <c r="F62" s="540">
        <v>3000</v>
      </c>
      <c r="G62" s="533">
        <f t="shared" ref="G62:G68" si="45">E62*F62</f>
        <v>57060</v>
      </c>
      <c r="H62" s="31">
        <v>2</v>
      </c>
      <c r="I62" s="538">
        <v>14</v>
      </c>
      <c r="J62" s="29">
        <v>2400</v>
      </c>
      <c r="K62" s="12">
        <f t="shared" si="1"/>
        <v>171.42857142857142</v>
      </c>
      <c r="L62" s="538">
        <v>14</v>
      </c>
      <c r="M62" s="13">
        <f t="shared" ref="M62:M68" si="46">F62/V62*60</f>
        <v>2307.6923076923072</v>
      </c>
      <c r="N62" s="12">
        <f t="shared" si="3"/>
        <v>164.83516483516479</v>
      </c>
      <c r="O62" s="14">
        <f t="shared" si="4"/>
        <v>0</v>
      </c>
      <c r="P62" s="15">
        <f t="shared" si="5"/>
        <v>-6.5934065934066268</v>
      </c>
      <c r="Q62" s="534">
        <f t="shared" si="6"/>
        <v>0.96153846153846134</v>
      </c>
      <c r="R62" s="616">
        <f>Q69</f>
        <v>0.95565753899158945</v>
      </c>
      <c r="S62" s="32">
        <v>8.3333333333333329E-2</v>
      </c>
      <c r="T62" s="32">
        <v>0.13750000000000001</v>
      </c>
      <c r="U62" s="20"/>
      <c r="V62" s="539">
        <f t="shared" ref="V62:V68" si="47">(T62-S62)*24*60</f>
        <v>78.000000000000014</v>
      </c>
      <c r="W62" s="16">
        <f>T62</f>
        <v>0.13750000000000001</v>
      </c>
      <c r="X62" s="16">
        <f>S63</f>
        <v>0.1590277777777778</v>
      </c>
      <c r="Y62" s="16"/>
      <c r="Z62" s="16"/>
      <c r="AA62" s="612"/>
      <c r="AB62" s="612"/>
      <c r="AC62" s="136">
        <v>7</v>
      </c>
      <c r="AD62" s="18"/>
      <c r="AE62" s="14">
        <f t="shared" si="43"/>
        <v>-92.307692307692832</v>
      </c>
      <c r="AF62" s="534">
        <f t="shared" si="9"/>
        <v>0.96153846153846134</v>
      </c>
      <c r="AG62" s="616">
        <f>AF69</f>
        <v>0.95565753899158945</v>
      </c>
    </row>
    <row r="63" spans="1:33" ht="15.75" customHeight="1">
      <c r="A63" s="614" t="s">
        <v>2751</v>
      </c>
      <c r="B63" s="540" t="s">
        <v>20</v>
      </c>
      <c r="C63" s="660" t="s">
        <v>24</v>
      </c>
      <c r="D63" s="660"/>
      <c r="E63" s="27">
        <v>20.36</v>
      </c>
      <c r="F63" s="540">
        <v>3131</v>
      </c>
      <c r="G63" s="533">
        <f t="shared" si="45"/>
        <v>63747.159999999996</v>
      </c>
      <c r="H63" s="31" t="s">
        <v>40</v>
      </c>
      <c r="I63" s="538">
        <v>17</v>
      </c>
      <c r="J63" s="29">
        <v>2400</v>
      </c>
      <c r="K63" s="12">
        <f t="shared" si="1"/>
        <v>141.1764705882353</v>
      </c>
      <c r="L63" s="538">
        <v>17</v>
      </c>
      <c r="M63" s="13">
        <f t="shared" si="46"/>
        <v>2290.9756097560976</v>
      </c>
      <c r="N63" s="12">
        <f t="shared" si="3"/>
        <v>134.76327116212337</v>
      </c>
      <c r="O63" s="14">
        <f t="shared" si="4"/>
        <v>0</v>
      </c>
      <c r="P63" s="15">
        <f t="shared" si="5"/>
        <v>-6.4131994261119303</v>
      </c>
      <c r="Q63" s="534">
        <f t="shared" si="6"/>
        <v>0.95457317073170711</v>
      </c>
      <c r="R63" s="616"/>
      <c r="S63" s="32">
        <v>0.1590277777777778</v>
      </c>
      <c r="T63" s="32">
        <v>0.21597222222222223</v>
      </c>
      <c r="U63" s="533">
        <f t="shared" ref="U63:U68" si="48">(S63-T62)*24*60</f>
        <v>31.000000000000011</v>
      </c>
      <c r="V63" s="539">
        <f t="shared" si="47"/>
        <v>81.999999999999986</v>
      </c>
      <c r="W63" s="16"/>
      <c r="X63" s="16"/>
      <c r="Y63" s="16"/>
      <c r="Z63" s="16"/>
      <c r="AA63" s="612"/>
      <c r="AB63" s="612"/>
      <c r="AC63" s="136"/>
      <c r="AD63" s="18"/>
      <c r="AE63" s="14">
        <f t="shared" si="43"/>
        <v>-109.02439024390242</v>
      </c>
      <c r="AF63" s="534">
        <f t="shared" si="9"/>
        <v>0.95457317073170733</v>
      </c>
      <c r="AG63" s="616"/>
    </row>
    <row r="64" spans="1:33" ht="15.75" customHeight="1">
      <c r="A64" s="614" t="s">
        <v>73</v>
      </c>
      <c r="B64" s="540" t="s">
        <v>20</v>
      </c>
      <c r="C64" s="660" t="s">
        <v>80</v>
      </c>
      <c r="D64" s="660"/>
      <c r="E64" s="27">
        <v>25.98</v>
      </c>
      <c r="F64" s="540">
        <v>2333</v>
      </c>
      <c r="G64" s="533">
        <f t="shared" si="45"/>
        <v>60611.340000000004</v>
      </c>
      <c r="H64" s="31" t="s">
        <v>40</v>
      </c>
      <c r="I64" s="538">
        <v>17</v>
      </c>
      <c r="J64" s="29">
        <v>2400</v>
      </c>
      <c r="K64" s="12">
        <f t="shared" si="1"/>
        <v>141.1764705882353</v>
      </c>
      <c r="L64" s="538">
        <v>17</v>
      </c>
      <c r="M64" s="13">
        <f t="shared" si="46"/>
        <v>2294.7540983606559</v>
      </c>
      <c r="N64" s="12">
        <f t="shared" si="3"/>
        <v>134.98553519768564</v>
      </c>
      <c r="O64" s="14">
        <f t="shared" si="4"/>
        <v>0</v>
      </c>
      <c r="P64" s="15">
        <f t="shared" si="5"/>
        <v>-6.1909353905496687</v>
      </c>
      <c r="Q64" s="534">
        <f t="shared" si="6"/>
        <v>0.95614754098360655</v>
      </c>
      <c r="R64" s="616"/>
      <c r="S64" s="32">
        <v>0.22013888888888891</v>
      </c>
      <c r="T64" s="32">
        <v>0.26250000000000001</v>
      </c>
      <c r="U64" s="533">
        <f t="shared" si="48"/>
        <v>6.0000000000000187</v>
      </c>
      <c r="V64" s="539">
        <f t="shared" si="47"/>
        <v>60.999999999999986</v>
      </c>
      <c r="W64" s="16"/>
      <c r="X64" s="16"/>
      <c r="Y64" s="16"/>
      <c r="Z64" s="16"/>
      <c r="AA64" s="612"/>
      <c r="AB64" s="612"/>
      <c r="AC64" s="136"/>
      <c r="AD64" s="18"/>
      <c r="AE64" s="14">
        <f t="shared" si="43"/>
        <v>-105.24590163934408</v>
      </c>
      <c r="AF64" s="534">
        <f t="shared" si="9"/>
        <v>0.95614754098360666</v>
      </c>
      <c r="AG64" s="616"/>
    </row>
    <row r="65" spans="1:33" ht="15.75" customHeight="1">
      <c r="A65" s="614" t="s">
        <v>2751</v>
      </c>
      <c r="B65" s="540" t="s">
        <v>20</v>
      </c>
      <c r="C65" s="660" t="s">
        <v>739</v>
      </c>
      <c r="D65" s="660"/>
      <c r="E65" s="27">
        <v>28.29</v>
      </c>
      <c r="F65" s="540">
        <v>3679</v>
      </c>
      <c r="G65" s="533">
        <f t="shared" si="45"/>
        <v>104078.91</v>
      </c>
      <c r="H65" s="31" t="s">
        <v>40</v>
      </c>
      <c r="I65" s="538">
        <v>21</v>
      </c>
      <c r="J65" s="29">
        <v>2400</v>
      </c>
      <c r="K65" s="12">
        <f t="shared" si="1"/>
        <v>114.28571428571429</v>
      </c>
      <c r="L65" s="538">
        <v>21</v>
      </c>
      <c r="M65" s="13">
        <f t="shared" si="46"/>
        <v>2299.3750000000009</v>
      </c>
      <c r="N65" s="12">
        <f t="shared" si="3"/>
        <v>109.49404761904766</v>
      </c>
      <c r="O65" s="14">
        <f t="shared" si="4"/>
        <v>0</v>
      </c>
      <c r="P65" s="15">
        <f t="shared" si="5"/>
        <v>-4.7916666666666288</v>
      </c>
      <c r="Q65" s="534">
        <f t="shared" si="6"/>
        <v>0.95807291666666705</v>
      </c>
      <c r="R65" s="616"/>
      <c r="S65" s="32">
        <v>0.2673611111111111</v>
      </c>
      <c r="T65" s="32">
        <v>0.33402777777777776</v>
      </c>
      <c r="U65" s="533">
        <f t="shared" si="48"/>
        <v>6.9999999999999751</v>
      </c>
      <c r="V65" s="539">
        <f t="shared" si="47"/>
        <v>95.999999999999972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-100.62499999999909</v>
      </c>
      <c r="AF65" s="534">
        <f t="shared" si="9"/>
        <v>0.95807291666666705</v>
      </c>
      <c r="AG65" s="616"/>
    </row>
    <row r="66" spans="1:33" ht="15.75" customHeight="1">
      <c r="A66" s="614" t="s">
        <v>2751</v>
      </c>
      <c r="B66" s="540" t="s">
        <v>20</v>
      </c>
      <c r="C66" s="660" t="s">
        <v>1420</v>
      </c>
      <c r="D66" s="660"/>
      <c r="E66" s="27">
        <v>24.25</v>
      </c>
      <c r="F66" s="540">
        <v>4121</v>
      </c>
      <c r="G66" s="533">
        <f t="shared" si="45"/>
        <v>99934.25</v>
      </c>
      <c r="H66" s="31" t="s">
        <v>40</v>
      </c>
      <c r="I66" s="538">
        <v>17</v>
      </c>
      <c r="J66" s="29">
        <v>2400</v>
      </c>
      <c r="K66" s="12">
        <f t="shared" si="1"/>
        <v>141.1764705882353</v>
      </c>
      <c r="L66" s="538">
        <v>17</v>
      </c>
      <c r="M66" s="13">
        <f t="shared" si="46"/>
        <v>2289.4444444444443</v>
      </c>
      <c r="N66" s="12">
        <f t="shared" si="3"/>
        <v>134.67320261437908</v>
      </c>
      <c r="O66" s="14">
        <f t="shared" si="4"/>
        <v>0</v>
      </c>
      <c r="P66" s="15">
        <f t="shared" si="5"/>
        <v>-6.5032679738562251</v>
      </c>
      <c r="Q66" s="534">
        <f t="shared" si="6"/>
        <v>0.95393518518518505</v>
      </c>
      <c r="R66" s="616"/>
      <c r="S66" s="32">
        <v>0.33749999999999997</v>
      </c>
      <c r="T66" s="32">
        <v>0.41249999999999998</v>
      </c>
      <c r="U66" s="533">
        <f t="shared" si="48"/>
        <v>4.9999999999999822</v>
      </c>
      <c r="V66" s="539">
        <f t="shared" si="47"/>
        <v>108.00000000000001</v>
      </c>
      <c r="W66" s="16"/>
      <c r="X66" s="16"/>
      <c r="Y66" s="16"/>
      <c r="Z66" s="16"/>
      <c r="AA66" s="612"/>
      <c r="AB66" s="612"/>
      <c r="AC66" s="136"/>
      <c r="AD66" s="18"/>
      <c r="AE66" s="14">
        <f t="shared" si="43"/>
        <v>-110.55555555555566</v>
      </c>
      <c r="AF66" s="534">
        <f t="shared" si="9"/>
        <v>0.95393518518518516</v>
      </c>
      <c r="AG66" s="616"/>
    </row>
    <row r="67" spans="1:33" ht="15.75" customHeight="1">
      <c r="A67" s="614" t="s">
        <v>73</v>
      </c>
      <c r="B67" s="540" t="s">
        <v>20</v>
      </c>
      <c r="C67" s="660" t="s">
        <v>2494</v>
      </c>
      <c r="D67" s="660"/>
      <c r="E67" s="27">
        <v>23.89</v>
      </c>
      <c r="F67" s="540">
        <v>5600</v>
      </c>
      <c r="G67" s="533">
        <f t="shared" si="45"/>
        <v>133784</v>
      </c>
      <c r="H67" s="31" t="s">
        <v>40</v>
      </c>
      <c r="I67" s="538">
        <v>13</v>
      </c>
      <c r="J67" s="29">
        <v>2400</v>
      </c>
      <c r="K67" s="12">
        <f t="shared" si="1"/>
        <v>184.61538461538461</v>
      </c>
      <c r="L67" s="538">
        <v>13</v>
      </c>
      <c r="M67" s="13">
        <f t="shared" si="46"/>
        <v>2285.7142857142867</v>
      </c>
      <c r="N67" s="12">
        <f t="shared" si="3"/>
        <v>175.82417582417591</v>
      </c>
      <c r="O67" s="14">
        <f t="shared" si="4"/>
        <v>0</v>
      </c>
      <c r="P67" s="15">
        <f t="shared" si="5"/>
        <v>-8.7912087912087031</v>
      </c>
      <c r="Q67" s="534">
        <f t="shared" si="6"/>
        <v>0.95238095238095288</v>
      </c>
      <c r="R67" s="616"/>
      <c r="S67" s="32">
        <v>0.41805555555555551</v>
      </c>
      <c r="T67" s="32">
        <v>0.52013888888888882</v>
      </c>
      <c r="U67" s="533">
        <f t="shared" si="48"/>
        <v>7.9999999999999716</v>
      </c>
      <c r="V67" s="539">
        <f t="shared" si="47"/>
        <v>146.99999999999994</v>
      </c>
      <c r="W67" s="16">
        <f>T67</f>
        <v>0.52013888888888882</v>
      </c>
      <c r="X67" s="16">
        <f>S68</f>
        <v>0.56041666666666656</v>
      </c>
      <c r="Y67" s="16"/>
      <c r="Z67" s="16"/>
      <c r="AA67" s="612"/>
      <c r="AB67" s="612"/>
      <c r="AC67" s="136"/>
      <c r="AD67" s="18"/>
      <c r="AE67" s="14">
        <f t="shared" si="43"/>
        <v>-114.28571428571331</v>
      </c>
      <c r="AF67" s="534">
        <f t="shared" si="9"/>
        <v>0.95238095238095277</v>
      </c>
      <c r="AG67" s="616"/>
    </row>
    <row r="68" spans="1:33" ht="15.75" customHeight="1">
      <c r="A68" s="614" t="s">
        <v>73</v>
      </c>
      <c r="B68" s="540" t="s">
        <v>20</v>
      </c>
      <c r="C68" s="605" t="s">
        <v>39</v>
      </c>
      <c r="D68" s="606"/>
      <c r="E68" s="27">
        <v>19.02</v>
      </c>
      <c r="F68" s="540">
        <v>4193</v>
      </c>
      <c r="G68" s="533">
        <f t="shared" si="45"/>
        <v>79750.86</v>
      </c>
      <c r="H68" s="31" t="s">
        <v>40</v>
      </c>
      <c r="I68" s="538">
        <v>14</v>
      </c>
      <c r="J68" s="29">
        <v>2400</v>
      </c>
      <c r="K68" s="12">
        <f t="shared" si="1"/>
        <v>171.42857142857142</v>
      </c>
      <c r="L68" s="538">
        <v>14</v>
      </c>
      <c r="M68" s="13">
        <f t="shared" si="46"/>
        <v>2287.0909090909108</v>
      </c>
      <c r="N68" s="12">
        <f t="shared" si="3"/>
        <v>163.36363636363649</v>
      </c>
      <c r="O68" s="14">
        <f t="shared" si="4"/>
        <v>0</v>
      </c>
      <c r="P68" s="15">
        <f t="shared" si="5"/>
        <v>-8.0649350649349287</v>
      </c>
      <c r="Q68" s="534">
        <f t="shared" si="6"/>
        <v>0.95295454545454628</v>
      </c>
      <c r="R68" s="616"/>
      <c r="S68" s="32">
        <v>0.56041666666666656</v>
      </c>
      <c r="T68" s="32">
        <v>0.6368055555555554</v>
      </c>
      <c r="U68" s="533">
        <f t="shared" si="48"/>
        <v>57.999999999999957</v>
      </c>
      <c r="V68" s="539">
        <f t="shared" si="47"/>
        <v>109.99999999999993</v>
      </c>
      <c r="W68" s="16"/>
      <c r="X68" s="16"/>
      <c r="Y68" s="19"/>
      <c r="Z68" s="19"/>
      <c r="AA68" s="607"/>
      <c r="AB68" s="608"/>
      <c r="AC68" s="136"/>
      <c r="AD68" s="18"/>
      <c r="AE68" s="14">
        <f t="shared" si="43"/>
        <v>-112.90909090908917</v>
      </c>
      <c r="AF68" s="534">
        <f t="shared" si="9"/>
        <v>0.95295454545454616</v>
      </c>
      <c r="AG68" s="616"/>
    </row>
    <row r="69" spans="1:33" ht="16.5" customHeight="1">
      <c r="A69" s="615" t="s">
        <v>73</v>
      </c>
      <c r="B69" s="27" t="s">
        <v>275</v>
      </c>
      <c r="C69" s="609"/>
      <c r="D69" s="610"/>
      <c r="E69" s="535"/>
      <c r="F69" s="28"/>
      <c r="G69" s="12"/>
      <c r="H69" s="540"/>
      <c r="I69" s="21">
        <v>16.142857142857142</v>
      </c>
      <c r="J69" s="29">
        <v>2400</v>
      </c>
      <c r="K69" s="12">
        <f t="shared" ref="K69:K80" si="49">J69/I69</f>
        <v>148.67256637168143</v>
      </c>
      <c r="L69" s="21">
        <v>16.142857142857142</v>
      </c>
      <c r="M69" s="13">
        <f>AVERAGE(M62:M68)</f>
        <v>2293.5780935798148</v>
      </c>
      <c r="N69" s="12">
        <f t="shared" ref="N69:N80" si="50">M69/L69</f>
        <v>142.08005889432482</v>
      </c>
      <c r="O69" s="14">
        <f t="shared" ref="O69:O80" si="51">L69-I69</f>
        <v>0</v>
      </c>
      <c r="P69" s="15">
        <f t="shared" ref="P69:P80" si="52">N69-K69</f>
        <v>-6.5925074773566052</v>
      </c>
      <c r="Q69" s="534">
        <f t="shared" ref="Q69:Q80" si="53">N69/K69</f>
        <v>0.95565753899158945</v>
      </c>
      <c r="R69" s="616"/>
      <c r="S69" s="32"/>
      <c r="T69" s="32"/>
      <c r="U69" s="12"/>
      <c r="V69" s="539"/>
      <c r="W69" s="12"/>
      <c r="X69" s="12"/>
      <c r="Y69" s="22">
        <f>SUM(Y62:Y68)</f>
        <v>0</v>
      </c>
      <c r="Z69" s="22">
        <f>SUM(Z62:Z68)</f>
        <v>0</v>
      </c>
      <c r="AA69" s="611"/>
      <c r="AB69" s="611"/>
      <c r="AC69" s="22">
        <v>7</v>
      </c>
      <c r="AD69" s="22">
        <f>SUM(AD62:AD68)</f>
        <v>0</v>
      </c>
      <c r="AE69" s="14">
        <f t="shared" si="43"/>
        <v>-106.42190642018522</v>
      </c>
      <c r="AF69" s="534">
        <f t="shared" ref="AF69:AF80" si="54">M69/J69</f>
        <v>0.95565753899158945</v>
      </c>
      <c r="AG69" s="616"/>
    </row>
    <row r="70" spans="1:33">
      <c r="D70" s="23"/>
      <c r="E70" s="23"/>
      <c r="H70" s="91"/>
    </row>
  </sheetData>
  <mergeCells count="185">
    <mergeCell ref="C69:D69"/>
    <mergeCell ref="AA69:AB69"/>
    <mergeCell ref="AA65:AB65"/>
    <mergeCell ref="C66:D66"/>
    <mergeCell ref="AA66:AB66"/>
    <mergeCell ref="C67:D67"/>
    <mergeCell ref="AA67:AB67"/>
    <mergeCell ref="C68:D68"/>
    <mergeCell ref="AA68:AB68"/>
    <mergeCell ref="A62:A69"/>
    <mergeCell ref="C62:D62"/>
    <mergeCell ref="R62:R69"/>
    <mergeCell ref="AA62:AB62"/>
    <mergeCell ref="AG62:AG69"/>
    <mergeCell ref="C63:D63"/>
    <mergeCell ref="AA63:AB63"/>
    <mergeCell ref="C64:D64"/>
    <mergeCell ref="AA64:AB64"/>
    <mergeCell ref="C65:D65"/>
    <mergeCell ref="AG57:AG61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56:D56"/>
    <mergeCell ref="AA56:AB56"/>
    <mergeCell ref="A57:A61"/>
    <mergeCell ref="C57:D57"/>
    <mergeCell ref="R57:R61"/>
    <mergeCell ref="AA57:AB57"/>
    <mergeCell ref="AA51:AB51"/>
    <mergeCell ref="C52:D52"/>
    <mergeCell ref="AA52:AB52"/>
    <mergeCell ref="C53:D53"/>
    <mergeCell ref="AA53:AB53"/>
    <mergeCell ref="C54:D54"/>
    <mergeCell ref="AA54:AB54"/>
    <mergeCell ref="A47:A56"/>
    <mergeCell ref="C47:D47"/>
    <mergeCell ref="R47:R56"/>
    <mergeCell ref="AA47:AB47"/>
    <mergeCell ref="AG47:AG56"/>
    <mergeCell ref="C48:D48"/>
    <mergeCell ref="AA48:AB48"/>
    <mergeCell ref="C49:D49"/>
    <mergeCell ref="AA49:AB49"/>
    <mergeCell ref="AA50:AB50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0:D40"/>
    <mergeCell ref="AA40:AB40"/>
    <mergeCell ref="C41:D41"/>
    <mergeCell ref="AA41:AB41"/>
    <mergeCell ref="A42:A46"/>
    <mergeCell ref="C42:D42"/>
    <mergeCell ref="R42:R46"/>
    <mergeCell ref="AA42:AB42"/>
    <mergeCell ref="AA36:AB36"/>
    <mergeCell ref="A37:A41"/>
    <mergeCell ref="C37:D37"/>
    <mergeCell ref="R37:R41"/>
    <mergeCell ref="AA37:AB37"/>
    <mergeCell ref="AG37:AG41"/>
    <mergeCell ref="C38:D38"/>
    <mergeCell ref="AA38:AB38"/>
    <mergeCell ref="C39:D39"/>
    <mergeCell ref="AA39:AB39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28:D28"/>
    <mergeCell ref="AA28:AB28"/>
    <mergeCell ref="A29:A36"/>
    <mergeCell ref="C29:D29"/>
    <mergeCell ref="R29:R36"/>
    <mergeCell ref="AA29:AB29"/>
    <mergeCell ref="AA34:AB34"/>
    <mergeCell ref="C35:D35"/>
    <mergeCell ref="AA35:AB35"/>
    <mergeCell ref="C36:D36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17:AB17"/>
    <mergeCell ref="C18:D18"/>
    <mergeCell ref="AA18:AB18"/>
    <mergeCell ref="C21:D21"/>
    <mergeCell ref="AA21:AB21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7:D7"/>
    <mergeCell ref="AA7:AB7"/>
    <mergeCell ref="C8:D8"/>
    <mergeCell ref="AA8:AB8"/>
    <mergeCell ref="A9:A13"/>
    <mergeCell ref="C9:D9"/>
    <mergeCell ref="R9:R13"/>
    <mergeCell ref="AA9:AB9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0:O67 O56:O57 O69 O5:O9 O13:O15 O21:O52">
    <cfRule type="cellIs" dxfId="68" priority="61" operator="greaterThan">
      <formula>0</formula>
    </cfRule>
  </conditionalFormatting>
  <conditionalFormatting sqref="P5:P7 P60 AE60 P62:P67 P29:P35 P57 P9 P13:P15 P22:P27 P47:P52 P37:P45 AE5:AE57 AE62:AE69">
    <cfRule type="cellIs" dxfId="67" priority="65" operator="lessThan">
      <formula>0</formula>
    </cfRule>
  </conditionalFormatting>
  <conditionalFormatting sqref="AF60 Q60:Q67 Q56:Q57 Q69 Q5:Q9 Q13:Q15 Q21:Q52 AF5:AF57 AF62:AF69">
    <cfRule type="cellIs" dxfId="66" priority="62" operator="greaterThan">
      <formula>1</formula>
    </cfRule>
    <cfRule type="cellIs" dxfId="65" priority="63" operator="lessThan">
      <formula>0.8</formula>
    </cfRule>
  </conditionalFormatting>
  <conditionalFormatting sqref="AG14:AG15 R14:R15 AG60 R60:R67 AG56:AG57 R56:R57 R69 AG5:AG9 R5:R9 AG21:AG52 R21:R52">
    <cfRule type="cellIs" dxfId="64" priority="67" operator="lessThan">
      <formula>0.8</formula>
    </cfRule>
  </conditionalFormatting>
  <conditionalFormatting sqref="AG42">
    <cfRule type="cellIs" dxfId="63" priority="69" operator="lessThan">
      <formula>0.8</formula>
    </cfRule>
  </conditionalFormatting>
  <conditionalFormatting sqref="AG22:AG27">
    <cfRule type="cellIs" dxfId="62" priority="66" operator="lessThan">
      <formula>0.8</formula>
    </cfRule>
  </conditionalFormatting>
  <conditionalFormatting sqref="AG29">
    <cfRule type="cellIs" dxfId="61" priority="68" operator="lessThan">
      <formula>0.8</formula>
    </cfRule>
  </conditionalFormatting>
  <conditionalFormatting sqref="AG37:AG40">
    <cfRule type="cellIs" dxfId="60" priority="64" operator="lessThan">
      <formula>0.8</formula>
    </cfRule>
  </conditionalFormatting>
  <conditionalFormatting sqref="AE61">
    <cfRule type="cellIs" dxfId="59" priority="60" operator="lessThan">
      <formula>0</formula>
    </cfRule>
  </conditionalFormatting>
  <conditionalFormatting sqref="AF61">
    <cfRule type="cellIs" dxfId="58" priority="58" operator="greaterThan">
      <formula>1</formula>
    </cfRule>
    <cfRule type="cellIs" dxfId="57" priority="59" operator="lessThan">
      <formula>0.8</formula>
    </cfRule>
  </conditionalFormatting>
  <conditionalFormatting sqref="O16:O17">
    <cfRule type="cellIs" dxfId="56" priority="53" operator="greaterThan">
      <formula>0</formula>
    </cfRule>
  </conditionalFormatting>
  <conditionalFormatting sqref="P16:P17">
    <cfRule type="cellIs" dxfId="55" priority="56" operator="lessThan">
      <formula>0</formula>
    </cfRule>
  </conditionalFormatting>
  <conditionalFormatting sqref="Q16:Q17">
    <cfRule type="cellIs" dxfId="54" priority="54" operator="greaterThan">
      <formula>1</formula>
    </cfRule>
    <cfRule type="cellIs" dxfId="53" priority="55" operator="lessThan">
      <formula>0.8</formula>
    </cfRule>
  </conditionalFormatting>
  <conditionalFormatting sqref="R16:R17 AG16:AG17">
    <cfRule type="cellIs" dxfId="52" priority="57" operator="lessThan">
      <formula>0.8</formula>
    </cfRule>
  </conditionalFormatting>
  <conditionalFormatting sqref="O10:O12">
    <cfRule type="cellIs" dxfId="51" priority="49" operator="greaterThan">
      <formula>0</formula>
    </cfRule>
  </conditionalFormatting>
  <conditionalFormatting sqref="P10:P12">
    <cfRule type="cellIs" dxfId="50" priority="52" operator="lessThan">
      <formula>0</formula>
    </cfRule>
  </conditionalFormatting>
  <conditionalFormatting sqref="Q10:Q12">
    <cfRule type="cellIs" dxfId="49" priority="50" operator="greaterThan">
      <formula>1</formula>
    </cfRule>
    <cfRule type="cellIs" dxfId="48" priority="51" operator="lessThan">
      <formula>0.8</formula>
    </cfRule>
  </conditionalFormatting>
  <conditionalFormatting sqref="O53">
    <cfRule type="cellIs" dxfId="47" priority="44" operator="greaterThan">
      <formula>0</formula>
    </cfRule>
  </conditionalFormatting>
  <conditionalFormatting sqref="P53">
    <cfRule type="cellIs" dxfId="46" priority="47" operator="lessThan">
      <formula>0</formula>
    </cfRule>
  </conditionalFormatting>
  <conditionalFormatting sqref="Q53">
    <cfRule type="cellIs" dxfId="45" priority="45" operator="greaterThan">
      <formula>1</formula>
    </cfRule>
    <cfRule type="cellIs" dxfId="44" priority="46" operator="lessThan">
      <formula>0.8</formula>
    </cfRule>
  </conditionalFormatting>
  <conditionalFormatting sqref="R53 AG53">
    <cfRule type="cellIs" dxfId="43" priority="48" operator="lessThan">
      <formula>0.8</formula>
    </cfRule>
  </conditionalFormatting>
  <conditionalFormatting sqref="O59">
    <cfRule type="cellIs" dxfId="42" priority="39" operator="greaterThan">
      <formula>0</formula>
    </cfRule>
  </conditionalFormatting>
  <conditionalFormatting sqref="P59 AE59">
    <cfRule type="cellIs" dxfId="41" priority="42" operator="lessThan">
      <formula>0</formula>
    </cfRule>
  </conditionalFormatting>
  <conditionalFormatting sqref="Q59 AF59">
    <cfRule type="cellIs" dxfId="40" priority="40" operator="greaterThan">
      <formula>1</formula>
    </cfRule>
    <cfRule type="cellIs" dxfId="39" priority="41" operator="lessThan">
      <formula>0.8</formula>
    </cfRule>
  </conditionalFormatting>
  <conditionalFormatting sqref="R59 AG59">
    <cfRule type="cellIs" dxfId="38" priority="43" operator="lessThan">
      <formula>0.8</formula>
    </cfRule>
  </conditionalFormatting>
  <conditionalFormatting sqref="O68">
    <cfRule type="cellIs" dxfId="37" priority="34" operator="greaterThan">
      <formula>0</formula>
    </cfRule>
  </conditionalFormatting>
  <conditionalFormatting sqref="P68">
    <cfRule type="cellIs" dxfId="36" priority="37" operator="lessThan">
      <formula>0</formula>
    </cfRule>
  </conditionalFormatting>
  <conditionalFormatting sqref="Q68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R68">
    <cfRule type="cellIs" dxfId="33" priority="38" operator="lessThan">
      <formula>0.8</formula>
    </cfRule>
  </conditionalFormatting>
  <conditionalFormatting sqref="O18:O19">
    <cfRule type="cellIs" dxfId="32" priority="29" operator="greaterThan">
      <formula>0</formula>
    </cfRule>
  </conditionalFormatting>
  <conditionalFormatting sqref="P18:P19">
    <cfRule type="cellIs" dxfId="31" priority="32" operator="lessThan">
      <formula>0</formula>
    </cfRule>
  </conditionalFormatting>
  <conditionalFormatting sqref="Q18:Q19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R18:R19 AG18:AG19">
    <cfRule type="cellIs" dxfId="28" priority="33" operator="lessThan">
      <formula>0.8</formula>
    </cfRule>
  </conditionalFormatting>
  <conditionalFormatting sqref="O54">
    <cfRule type="cellIs" dxfId="27" priority="24" operator="greaterThan">
      <formula>0</formula>
    </cfRule>
  </conditionalFormatting>
  <conditionalFormatting sqref="P54">
    <cfRule type="cellIs" dxfId="26" priority="27" operator="lessThan">
      <formula>0</formula>
    </cfRule>
  </conditionalFormatting>
  <conditionalFormatting sqref="Q54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AG54 R54">
    <cfRule type="cellIs" dxfId="23" priority="28" operator="lessThan">
      <formula>0.8</formula>
    </cfRule>
  </conditionalFormatting>
  <conditionalFormatting sqref="O58">
    <cfRule type="cellIs" dxfId="22" priority="19" operator="greaterThan">
      <formula>0</formula>
    </cfRule>
  </conditionalFormatting>
  <conditionalFormatting sqref="P58 AE58">
    <cfRule type="cellIs" dxfId="21" priority="22" operator="lessThan">
      <formula>0</formula>
    </cfRule>
  </conditionalFormatting>
  <conditionalFormatting sqref="Q58 AF58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R58 AG58">
    <cfRule type="cellIs" dxfId="18" priority="23" operator="lessThan">
      <formula>0.8</formula>
    </cfRule>
  </conditionalFormatting>
  <conditionalFormatting sqref="O20">
    <cfRule type="cellIs" dxfId="17" priority="14" operator="greaterThan">
      <formula>0</formula>
    </cfRule>
  </conditionalFormatting>
  <conditionalFormatting sqref="P20">
    <cfRule type="cellIs" dxfId="16" priority="17" operator="lessThan">
      <formula>0</formula>
    </cfRule>
  </conditionalFormatting>
  <conditionalFormatting sqref="Q20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AG20 R20">
    <cfRule type="cellIs" dxfId="13" priority="18" operator="lessThan">
      <formula>0.8</formula>
    </cfRule>
  </conditionalFormatting>
  <conditionalFormatting sqref="P8">
    <cfRule type="cellIs" dxfId="12" priority="13" operator="lessThan">
      <formula>0</formula>
    </cfRule>
  </conditionalFormatting>
  <conditionalFormatting sqref="P21">
    <cfRule type="cellIs" dxfId="11" priority="12" operator="lessThan">
      <formula>0</formula>
    </cfRule>
  </conditionalFormatting>
  <conditionalFormatting sqref="P28">
    <cfRule type="cellIs" dxfId="10" priority="11" operator="lessThan">
      <formula>0</formula>
    </cfRule>
  </conditionalFormatting>
  <conditionalFormatting sqref="P36">
    <cfRule type="cellIs" dxfId="9" priority="10" operator="lessThan">
      <formula>0</formula>
    </cfRule>
  </conditionalFormatting>
  <conditionalFormatting sqref="P46">
    <cfRule type="cellIs" dxfId="8" priority="9" operator="lessThan">
      <formula>0</formula>
    </cfRule>
  </conditionalFormatting>
  <conditionalFormatting sqref="P56">
    <cfRule type="cellIs" dxfId="7" priority="8" operator="lessThan">
      <formula>0</formula>
    </cfRule>
  </conditionalFormatting>
  <conditionalFormatting sqref="P61">
    <cfRule type="cellIs" dxfId="6" priority="7" operator="lessThan">
      <formula>0</formula>
    </cfRule>
  </conditionalFormatting>
  <conditionalFormatting sqref="P69">
    <cfRule type="cellIs" dxfId="5" priority="6" operator="lessThan">
      <formula>0</formula>
    </cfRule>
  </conditionalFormatting>
  <conditionalFormatting sqref="O55">
    <cfRule type="cellIs" dxfId="4" priority="1" operator="greaterThan">
      <formula>0</formula>
    </cfRule>
  </conditionalFormatting>
  <conditionalFormatting sqref="P55">
    <cfRule type="cellIs" dxfId="3" priority="4" operator="lessThan">
      <formula>0</formula>
    </cfRule>
  </conditionalFormatting>
  <conditionalFormatting sqref="Q55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AG55 R55">
    <cfRule type="cellIs" dxfId="0" priority="5" operator="lessThan">
      <formula>0.8</formula>
    </cfRule>
  </conditionalFormatting>
  <dataValidations count="1">
    <dataValidation type="list" allowBlank="1" showInputMessage="1" showErrorMessage="1" sqref="AB8 AA5:AB7 AA8:AA60 AB10:AB57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8" sqref="I8:J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2589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85</v>
      </c>
      <c r="C3" s="594" t="str">
        <f>TEXT('0730 4度C'!A2,"yyyy.mm.ddaaaa")</f>
        <v>2026.07.30星期四</v>
      </c>
      <c r="D3" s="595"/>
      <c r="E3" s="36" t="s">
        <v>2590</v>
      </c>
      <c r="F3" s="596">
        <f>'0730 4度C'!D1</f>
        <v>172118</v>
      </c>
      <c r="G3" s="597"/>
      <c r="H3" s="36" t="s">
        <v>2591</v>
      </c>
      <c r="I3" s="598">
        <f>'0730 4度C'!F1</f>
        <v>5885033.5900000008</v>
      </c>
      <c r="J3" s="599"/>
      <c r="K3" s="37"/>
      <c r="L3" s="38"/>
      <c r="M3" s="39"/>
      <c r="N3" s="39"/>
    </row>
    <row r="4" spans="2:17" ht="28.5" customHeight="1">
      <c r="B4" s="600" t="s">
        <v>2592</v>
      </c>
      <c r="C4" s="586" t="s">
        <v>2593</v>
      </c>
      <c r="D4" s="587"/>
      <c r="E4" s="603" t="s">
        <v>2594</v>
      </c>
      <c r="F4" s="604"/>
      <c r="G4" s="603" t="s">
        <v>2595</v>
      </c>
      <c r="H4" s="604"/>
      <c r="I4" s="603" t="s">
        <v>2596</v>
      </c>
      <c r="J4" s="604"/>
      <c r="K4" s="584" t="s">
        <v>2597</v>
      </c>
      <c r="L4" s="585"/>
      <c r="M4" s="585" t="s">
        <v>2598</v>
      </c>
      <c r="N4" s="585"/>
    </row>
    <row r="5" spans="2:17" ht="28.5" customHeight="1">
      <c r="B5" s="601"/>
      <c r="C5" s="586" t="s">
        <v>2599</v>
      </c>
      <c r="D5" s="587"/>
      <c r="E5" s="586" t="s">
        <v>2600</v>
      </c>
      <c r="F5" s="587"/>
      <c r="G5" s="588" t="s">
        <v>2601</v>
      </c>
      <c r="H5" s="589"/>
      <c r="I5" s="590" t="s">
        <v>2602</v>
      </c>
      <c r="J5" s="591"/>
      <c r="K5" s="40" t="s">
        <v>2603</v>
      </c>
      <c r="L5" s="41" t="s">
        <v>2604</v>
      </c>
      <c r="M5" s="40" t="s">
        <v>2603</v>
      </c>
      <c r="N5" s="41" t="s">
        <v>2605</v>
      </c>
    </row>
    <row r="6" spans="2:17" ht="28.5" customHeight="1">
      <c r="B6" s="601"/>
      <c r="C6" s="586" t="s">
        <v>41</v>
      </c>
      <c r="D6" s="587"/>
      <c r="E6" s="578">
        <f>AVERAGE(D13:M13)</f>
        <v>158.79229057378291</v>
      </c>
      <c r="F6" s="579">
        <f>AVERAGE(D31:O31,D13:J13)</f>
        <v>166.69025151372156</v>
      </c>
      <c r="G6" s="580">
        <f>AVERAGE(D13:J13)</f>
        <v>166.69025151372156</v>
      </c>
      <c r="H6" s="581"/>
      <c r="I6" s="580">
        <f>AVERAGE(K13:M13)</f>
        <v>140.36371504725935</v>
      </c>
      <c r="J6" s="581"/>
      <c r="K6" s="582">
        <f>'0730 4度C'!Y2</f>
        <v>0</v>
      </c>
      <c r="L6" s="567">
        <f>'0730 4度C'!Z2</f>
        <v>0</v>
      </c>
      <c r="M6" s="583">
        <f>'0730 4度C'!AC2</f>
        <v>62</v>
      </c>
      <c r="N6" s="567">
        <f>'0730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152.4712863202877</v>
      </c>
      <c r="F7" s="571">
        <f>AVERAGE(D32:O32,D14:J14)</f>
        <v>160.19017643625801</v>
      </c>
      <c r="G7" s="572">
        <f>AVERAGE(D14:J14)</f>
        <v>160.19017643625801</v>
      </c>
      <c r="H7" s="573"/>
      <c r="I7" s="572">
        <f>AVERAGE(K14:M14)</f>
        <v>134.46054271635697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0.96014684564957453</v>
      </c>
      <c r="F8" s="575">
        <f>AVERAGE(D15:J15,D33:O33)</f>
        <v>0.96110052684909142</v>
      </c>
      <c r="G8" s="576">
        <f>AVERAGE(D15:J15)</f>
        <v>0.96110052684909142</v>
      </c>
      <c r="H8" s="577"/>
      <c r="I8" s="576">
        <f>AVERAGE(K15:M15)</f>
        <v>0.95792158951736883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2606</v>
      </c>
      <c r="N9" s="39"/>
      <c r="O9" s="39"/>
      <c r="P9" s="39"/>
      <c r="Q9" s="39"/>
    </row>
    <row r="10" spans="2:17" ht="30" customHeight="1">
      <c r="B10" s="550" t="s">
        <v>2607</v>
      </c>
      <c r="C10" s="551"/>
      <c r="D10" s="552" t="s">
        <v>2608</v>
      </c>
      <c r="E10" s="553"/>
      <c r="F10" s="553"/>
      <c r="G10" s="553"/>
      <c r="H10" s="553"/>
      <c r="I10" s="553"/>
      <c r="J10" s="554"/>
      <c r="K10" s="555" t="s">
        <v>2609</v>
      </c>
      <c r="L10" s="556"/>
      <c r="M10" s="557"/>
      <c r="P10" s="45"/>
      <c r="Q10" s="45"/>
    </row>
    <row r="11" spans="2:17" ht="17.25" customHeight="1">
      <c r="B11" s="558" t="s">
        <v>2610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2611</v>
      </c>
      <c r="C13" s="52" t="s">
        <v>2612</v>
      </c>
      <c r="D13" s="53">
        <f>SUMIFS('0730 4度C'!$K:$K,'0730 4度C'!$A:$A,"新豐6線",'0730 4度C'!$B:$B,"平均")</f>
        <v>130.43478260869566</v>
      </c>
      <c r="E13" s="54">
        <f>SUMIFS('0730 4度C'!$K:$K,'0730 4度C'!$A:$A,"新豐2線",'0730 4度C'!$B:$B,"平均")</f>
        <v>86.206896551724142</v>
      </c>
      <c r="F13" s="55">
        <f>SUMIFS('0730 4度C'!$K:$K,'0730 4度C'!$A:$A,"新豐5線",'0730 4度C'!$B:$B,"平均")</f>
        <v>93.023255813953497</v>
      </c>
      <c r="G13" s="55">
        <f>SUMIFS('0730 4度C'!$K:$K,'0730 4度C'!$A:$A,"新豐7線",'0730 4度C'!$B:$B,"平均")</f>
        <v>127.65957446808511</v>
      </c>
      <c r="H13" s="55">
        <f>SUMIFS('0730 4度C'!$K:$K,'0730 4度C'!$A:$A,"新豐3線",'0730 4度C'!$B:$B,"平均")</f>
        <v>324.32432432432432</v>
      </c>
      <c r="I13" s="55">
        <f>SUMIFS('0730 4度C'!$K:$K,'0730 4度C'!$A:$A,"新豐1線",'0730 4度C'!$B:$B,"平均")</f>
        <v>112.5</v>
      </c>
      <c r="J13" s="56">
        <f>SUMIFS('0730 4度C'!$K:$K,'0730 4度C'!$A:$A,"新豐10線",'0730 4度C'!$B:$B,"平均")</f>
        <v>292.6829268292683</v>
      </c>
      <c r="K13" s="57">
        <f>SUMIFS('0730 4度C'!$K:$K,'0730 4度C'!$A:$A,"新豐8線",'0730 4度C'!$B:$B,"平均")</f>
        <v>136.70886075949366</v>
      </c>
      <c r="L13" s="58">
        <f>SUMIFS('0730 4度C'!$K:$K,'0730 4度C'!$A:$A,"新豐9線",'0730 4度C'!$B:$B,"平均")</f>
        <v>133.33333333333331</v>
      </c>
      <c r="M13" s="56">
        <f>SUMIFS('0730 4度C'!$K:$K,'0730 4度C'!$A:$A,"新豐4線",'0730 4度C'!$B:$B,"平均")</f>
        <v>151.04895104895104</v>
      </c>
    </row>
    <row r="14" spans="2:17" ht="39.6" customHeight="1">
      <c r="B14" s="563"/>
      <c r="C14" s="59" t="s">
        <v>2613</v>
      </c>
      <c r="D14" s="60">
        <f>SUMIFS('0730 4度C'!$N:$N,'0730 4度C'!$A:$A,"新豐6線",'0730 4度C'!$B:$B,"平均")</f>
        <v>125.54973243561058</v>
      </c>
      <c r="E14" s="61">
        <f>SUMIFS('0730 4度C'!$N:$N,'0730 4度C'!$A:$A,"新豐2線",'0730 4度C'!$B:$B,"平均")</f>
        <v>82.36328146984053</v>
      </c>
      <c r="F14" s="61">
        <f>SUMIFS('0730 4度C'!$N:$N,'0730 4度C'!$A:$A,"新豐5線",'0730 4度C'!$B:$B,"平均")</f>
        <v>89.466158639871267</v>
      </c>
      <c r="G14" s="61">
        <f>SUMIFS('0730 4度C'!$N:$N,'0730 4度C'!$A:$A,"新豐7線",'0730 4度C'!$B:$B,"平均")</f>
        <v>123.34369134373063</v>
      </c>
      <c r="H14" s="61">
        <f>SUMIFS('0730 4度C'!$N:$N,'0730 4度C'!$A:$A,"新豐3線",'0730 4度C'!$B:$B,"平均")</f>
        <v>311.47519205104339</v>
      </c>
      <c r="I14" s="61">
        <f>SUMIFS('0730 4度C'!$N:$N,'0730 4度C'!$A:$A,"新豐1線",'0730 4度C'!$B:$B,"平均")</f>
        <v>108.1586221864101</v>
      </c>
      <c r="J14" s="62">
        <f>SUMIFS('0730 4度C'!$N:$N,'0730 4度C'!$A:$A,"新豐10線",'0730 4度C'!$B:$B,"平均")</f>
        <v>280.9745569272996</v>
      </c>
      <c r="K14" s="63">
        <f>SUMIFS('0730 4度C'!$N:$N,'0730 4度C'!$A:$A,"新豐8線",'0730 4度C'!$B:$B,"平均")</f>
        <v>131.28404668720708</v>
      </c>
      <c r="L14" s="64">
        <f>SUMIFS('0730 4度C'!$N:$N,'0730 4度C'!$A:$A,"新豐9線",'0730 4度C'!$B:$B,"平均")</f>
        <v>127.39397237369749</v>
      </c>
      <c r="M14" s="62">
        <f>SUMIFS('0730 4度C'!$N:$N,'0730 4度C'!$A:$A,"新豐4線",'0730 4度C'!$B:$B,"平均")</f>
        <v>144.7036090881663</v>
      </c>
    </row>
    <row r="15" spans="2:17" ht="40.15" customHeight="1">
      <c r="B15" s="564"/>
      <c r="C15" s="65" t="s">
        <v>2614</v>
      </c>
      <c r="D15" s="66">
        <f t="shared" ref="D15:M15" si="0">D14/D13</f>
        <v>0.96254794867301441</v>
      </c>
      <c r="E15" s="67">
        <f t="shared" si="0"/>
        <v>0.95541406505015014</v>
      </c>
      <c r="F15" s="67">
        <f t="shared" si="0"/>
        <v>0.96176120537861598</v>
      </c>
      <c r="G15" s="67">
        <f t="shared" si="0"/>
        <v>0.96619224885922317</v>
      </c>
      <c r="H15" s="67">
        <f t="shared" si="0"/>
        <v>0.96038184215738376</v>
      </c>
      <c r="I15" s="67">
        <f t="shared" si="0"/>
        <v>0.961409974990312</v>
      </c>
      <c r="J15" s="68">
        <f t="shared" si="0"/>
        <v>0.95999640283494025</v>
      </c>
      <c r="K15" s="66">
        <f t="shared" si="0"/>
        <v>0.96031848965642219</v>
      </c>
      <c r="L15" s="67">
        <f t="shared" si="0"/>
        <v>0.95545479280273138</v>
      </c>
      <c r="M15" s="68">
        <f t="shared" si="0"/>
        <v>0.95799148609295293</v>
      </c>
    </row>
    <row r="16" spans="2:17" ht="17.25" customHeight="1">
      <c r="B16" s="565" t="s">
        <v>2615</v>
      </c>
      <c r="C16" s="69" t="s">
        <v>2616</v>
      </c>
      <c r="D16" s="70">
        <f>VLOOKUP("新豐6線",'0730 4度C'!$A:$T,19,0)</f>
        <v>0.70833333333333337</v>
      </c>
      <c r="E16" s="71">
        <f>VLOOKUP("新豐2線",'0730 4度C'!$A:$T,19,0)</f>
        <v>8.3333333333333329E-2</v>
      </c>
      <c r="F16" s="71">
        <f>VLOOKUP("新豐5線",'0730 4度C'!$A:$T,19,0)</f>
        <v>8.3333333333333329E-2</v>
      </c>
      <c r="G16" s="71">
        <f>VLOOKUP("新豐7線",'0730 4度C'!$A:$T,19,0)</f>
        <v>0.20833333333333334</v>
      </c>
      <c r="H16" s="71">
        <f>VLOOKUP("新豐3線",'0730 4度C'!$A:$T,19,0)</f>
        <v>0.20833333333333334</v>
      </c>
      <c r="I16" s="71">
        <f>VLOOKUP("新豐1線",'0730 4度C'!$A:$T,19,0)</f>
        <v>8.3333333333333329E-2</v>
      </c>
      <c r="J16" s="72">
        <f>VLOOKUP("新豐10線",'0730 4度C'!$A:$T,19,0)</f>
        <v>0.20833333333333334</v>
      </c>
      <c r="K16" s="73">
        <f>VLOOKUP("新豐8線",'0730 4度C'!$A:$T,19,0)</f>
        <v>8.3333333333333329E-2</v>
      </c>
      <c r="L16" s="74">
        <f>VLOOKUP("新豐9線",'0730 4度C'!$A:$T,19,0)</f>
        <v>8.3333333333333329E-2</v>
      </c>
      <c r="M16" s="75">
        <f>VLOOKUP("新豐4線",'0730 4度C'!$A:$T,19,0)</f>
        <v>8.3333333333333329E-2</v>
      </c>
    </row>
    <row r="17" spans="2:13" ht="17.25" customHeight="1">
      <c r="B17" s="566"/>
      <c r="C17" s="69" t="s">
        <v>2617</v>
      </c>
      <c r="D17" s="73">
        <f>LOOKUP(2,1/(('0730 4度C'!$A:$A="新豐6線")*('0730 4度C'!$T:$T&lt;&gt;"")),'0730 4度C'!$T:$T)</f>
        <v>0.81666666666666665</v>
      </c>
      <c r="E17" s="71">
        <f>LOOKUP(2,1/(('0730 4度C'!$A:$A="新豐2線")*('0730 4度C'!$T:$T&lt;&gt;"")),'0730 4度C'!$T:$T)</f>
        <v>0.57638888888888873</v>
      </c>
      <c r="F17" s="71">
        <f>LOOKUP(2,1/(('0730 4度C'!$A:$A="新豐5線")*('0730 4度C'!$T:$T&lt;&gt;"")),'0730 4度C'!$T:$T)</f>
        <v>0.81736111111111109</v>
      </c>
      <c r="G17" s="71">
        <f>LOOKUP(2,1/(('0730 4度C'!$A:$A="新豐7線")*('0730 4度C'!$T:$T&lt;&gt;"")),'0730 4度C'!$T:$T)</f>
        <v>0.82638888888888884</v>
      </c>
      <c r="H17" s="71">
        <f>LOOKUP(2,1/(('0730 4度C'!$A:$A="新豐3線")*('0730 4度C'!$T:$T&lt;&gt;"")),'0730 4度C'!$T:$T)</f>
        <v>0.4055555555555555</v>
      </c>
      <c r="I17" s="71">
        <f>LOOKUP(2,1/(('0730 4度C'!$A:$A="新豐1線")*('0730 4度C'!$T:$T&lt;&gt;"")),'0730 4度C'!$T:$T)</f>
        <v>0.84791666666666665</v>
      </c>
      <c r="J17" s="72">
        <f>LOOKUP(2,1/(('0730 4度C'!$A:$A="新豐10線")*('0730 4度C'!$T:$T&lt;&gt;"")),'0730 4度C'!$T:$T)</f>
        <v>0.41527777777777775</v>
      </c>
      <c r="K17" s="70">
        <f>LOOKUP(2,1/(('0730 4度C'!$A:$A="新豐8線")*('0730 4度C'!$T:$T&lt;&gt;"")),'0730 4度C'!$T:$T)</f>
        <v>0.68402777777777757</v>
      </c>
      <c r="L17" s="71">
        <f>LOOKUP(2,1/(('0730 4度C'!$A:$A="新豐9線")*('0730 4度C'!$T:$T&lt;&gt;"")),'0730 4度C'!$T:$T)</f>
        <v>0.63124999999999998</v>
      </c>
      <c r="M17" s="72">
        <f>LOOKUP(2,1/(('0730 4度C'!$A:$A="新豐4線")*('0730 4度C'!$T:$T&lt;&gt;"")),'0730 4度C'!$T:$T)</f>
        <v>0.74444444444444424</v>
      </c>
    </row>
    <row r="18" spans="2:13" ht="17.25" customHeight="1">
      <c r="B18" s="544" t="s">
        <v>2618</v>
      </c>
      <c r="C18" s="76" t="s">
        <v>2619</v>
      </c>
      <c r="D18" s="77">
        <f>SUMIFS('0730 4度C'!$Y:$Y,'0730 4度C'!$A:$A,"新豐6線",'0730 4度C'!$B:$B,"平均")</f>
        <v>0</v>
      </c>
      <c r="E18" s="78">
        <f>SUMIFS('0730 4度C'!$Y:$Y,'0730 4度C'!$A:$A,"新豐2線",'0730 4度C'!$B:$B,"平均")</f>
        <v>0</v>
      </c>
      <c r="F18" s="78">
        <f>SUMIFS('0730 4度C'!$Y:$Y,'0730 4度C'!$A:$A,"新豐5線",'0730 4度C'!$B:$B,"平均")</f>
        <v>0</v>
      </c>
      <c r="G18" s="78">
        <f>SUMIFS('0730 4度C'!$Y:$Y,'0730 4度C'!$A:$A,"新豐7線",'0730 4度C'!$B:$B,"平均")</f>
        <v>0</v>
      </c>
      <c r="H18" s="78">
        <f>SUMIFS('0730 4度C'!$Y:$Y,'0730 4度C'!$A:$A,"新豐3線",'0730 4度C'!$B:$B,"平均")</f>
        <v>0</v>
      </c>
      <c r="I18" s="78">
        <f>SUMIFS('0730 4度C'!$Y:$Y,'0730 4度C'!$A:$A,"新豐1線",'0730 4度C'!$B:$B,"平均")</f>
        <v>0</v>
      </c>
      <c r="J18" s="79">
        <f>SUMIFS('0730 4度C'!$Y:$Y,'0730 4度C'!$A:$A,"新豐10線",'0730 4度C'!$B:$B,"平均")</f>
        <v>0</v>
      </c>
      <c r="K18" s="80">
        <f>SUMIFS('0730 4度C'!$Y:$Y,'0730 4度C'!$A:$A,"新豐8線",'0730 4度C'!$B:$B,"平均")</f>
        <v>0</v>
      </c>
      <c r="L18" s="78">
        <f>SUMIFS('0730 4度C'!$Y:$Y,'0730 4度C'!$A:$A,"新豐9線",'0730 4度C'!$B:$B,"平均")</f>
        <v>0</v>
      </c>
      <c r="M18" s="79">
        <f>SUMIFS('0730 4度C'!$Y:$Y,'0730 4度C'!$A:$A,"新豐4線",'0730 4度C'!$B:$B,"平均")</f>
        <v>0</v>
      </c>
    </row>
    <row r="19" spans="2:13" ht="17.25" customHeight="1">
      <c r="B19" s="545"/>
      <c r="C19" s="76" t="s">
        <v>2620</v>
      </c>
      <c r="D19" s="77">
        <f>SUMIFS('0730 4度C'!$Z:$Z,'0730 4度C'!$A:$A,"新豐6線",'0730 4度C'!$B:$B,"平均")</f>
        <v>0</v>
      </c>
      <c r="E19" s="78">
        <f>SUMIFS('0730 4度C'!$Z:$Z,'0730 4度C'!$A:$A,"新豐2線",'0730 4度C'!$B:$B,"平均")</f>
        <v>0</v>
      </c>
      <c r="F19" s="78">
        <f>SUMIFS('0730 4度C'!$Z:$Z,'0730 4度C'!$A:$A,"新豐5線",'0730 4度C'!$B:$B,"平均")</f>
        <v>0</v>
      </c>
      <c r="G19" s="78">
        <f>SUMIFS('0730 4度C'!$Z:$Z,'0730 4度C'!$A:$A,"新豐7線",'0730 4度C'!$B:$B,"平均")</f>
        <v>0</v>
      </c>
      <c r="H19" s="78">
        <f>SUMIFS('0730 4度C'!$Z:$Z,'0730 4度C'!$A:$A,"新豐3線",'0730 4度C'!$B:$B,"平均")</f>
        <v>0</v>
      </c>
      <c r="I19" s="78">
        <f>SUMIFS('0730 4度C'!$Z:$Z,'0730 4度C'!$A:$A,"新豐1線",'0730 4度C'!$B:$B,"平均")</f>
        <v>0</v>
      </c>
      <c r="J19" s="79">
        <f>SUMIFS('0730 4度C'!$Z:$Z,'0730 4度C'!$A:$A,"新豐10線",'0730 4度C'!$B:$B,"平均")</f>
        <v>0</v>
      </c>
      <c r="K19" s="80">
        <f>SUMIFS('0730 4度C'!$Z:$Z,'0730 4度C'!$A:$A,"新豐8線",'0730 4度C'!$B:$B,"平均")</f>
        <v>0</v>
      </c>
      <c r="L19" s="78">
        <f>SUMIFS('0730 4度C'!$Z:$Z,'0730 4度C'!$A:$A,"新豐9線",'0730 4度C'!$B:$B,"平均")</f>
        <v>0</v>
      </c>
      <c r="M19" s="79">
        <f>SUMIFS('0730 4度C'!$Z:$Z,'0730 4度C'!$A:$A,"新豐4線",'0730 4度C'!$B:$B,"平均")</f>
        <v>0</v>
      </c>
    </row>
    <row r="20" spans="2:13" ht="17.25" customHeight="1">
      <c r="B20" s="544" t="s">
        <v>2621</v>
      </c>
      <c r="C20" s="76" t="s">
        <v>2619</v>
      </c>
      <c r="D20" s="77">
        <f>SUMIFS('0730 4度C'!$AC:$AC,'0730 4度C'!$A:$A,"新豐6線",'0730 4度C'!$B:$B,"平均")</f>
        <v>3</v>
      </c>
      <c r="E20" s="78">
        <f>SUMIFS('0730 4度C'!$AC:$AC,'0730 4度C'!$A:$A,"新豐2線",'0730 4度C'!$B:$B,"平均")</f>
        <v>5</v>
      </c>
      <c r="F20" s="78">
        <f>SUMIFS('0730 4度C'!$AC:$AC,'0730 4度C'!$A:$A,"新豐5線",'0730 4度C'!$B:$B,"平均")</f>
        <v>7</v>
      </c>
      <c r="G20" s="78">
        <f>SUMIFS('0730 4度C'!$AC:$AC,'0730 4度C'!$A:$A,"新豐7線",'0730 4度C'!$B:$B,"平均")</f>
        <v>6</v>
      </c>
      <c r="H20" s="78">
        <f>SUMIFS('0730 4度C'!$AC:$AC,'0730 4度C'!$A:$A,"新豐3線",'0730 4度C'!$B:$B,"平均")</f>
        <v>4</v>
      </c>
      <c r="I20" s="78">
        <f>SUMIFS('0730 4度C'!$AC:$AC,'0730 4度C'!$A:$A,"新豐1線",'0730 4度C'!$B:$B,"平均")</f>
        <v>9</v>
      </c>
      <c r="J20" s="79">
        <f>SUMIFS('0730 4度C'!$AC:$AC,'0730 4度C'!$A:$A,"新豐10線",'0730 4度C'!$B:$B,"平均")</f>
        <v>4</v>
      </c>
      <c r="K20" s="80">
        <f>SUMIFS('0730 4度C'!$AC:$AC,'0730 4度C'!$A:$A,"新豐8線",'0730 4度C'!$B:$B,"平均")</f>
        <v>9</v>
      </c>
      <c r="L20" s="78">
        <f>SUMIFS('0730 4度C'!$AC:$AC,'0730 4度C'!$A:$A,"新豐9線",'0730 4度C'!$B:$B,"平均")</f>
        <v>6</v>
      </c>
      <c r="M20" s="79">
        <f>SUMIFS('0730 4度C'!$AC:$AC,'0730 4度C'!$A:$A,"新豐4線",'0730 4度C'!$B:$B,"平均")</f>
        <v>9</v>
      </c>
    </row>
    <row r="21" spans="2:13" ht="17.25" customHeight="1">
      <c r="B21" s="545"/>
      <c r="C21" s="76" t="s">
        <v>2622</v>
      </c>
      <c r="D21" s="77">
        <f>SUMIFS('0730 4度C'!$AD:$AD,'0730 4度C'!$A:$A,"新豐6線",'0730 4度C'!$B:$B,"平均")</f>
        <v>0</v>
      </c>
      <c r="E21" s="78">
        <f>SUMIFS('0730 4度C'!$AD:$AD,'0730 4度C'!$A:$A,"新豐2線",'0730 4度C'!$B:$B,"平均")</f>
        <v>0</v>
      </c>
      <c r="F21" s="78">
        <f>SUMIFS('0730 4度C'!$AD:$AD,'0730 4度C'!$A:$A,"新豐5線",'0730 4度C'!$B:$B,"平均")</f>
        <v>0</v>
      </c>
      <c r="G21" s="78">
        <f>SUMIFS('0730 4度C'!$AD:$AD,'0730 4度C'!$A:$A,"新豐7線",'0730 4度C'!$B:$B,"平均")</f>
        <v>0</v>
      </c>
      <c r="H21" s="78">
        <f>SUMIFS('0730 4度C'!$AD:$AD,'0730 4度C'!$A:$A,"新豐3線",'0730 4度C'!$B:$B,"平均")</f>
        <v>0</v>
      </c>
      <c r="I21" s="78">
        <f>SUMIFS('0730 4度C'!$AD:$AD,'0730 4度C'!$A:$A,"新豐1線",'0730 4度C'!$B:$B,"平均")</f>
        <v>0</v>
      </c>
      <c r="J21" s="79">
        <f>SUMIFS('0730 4度C'!$AD:$AD,'0730 4度C'!$A:$A,"新豐10線",'0730 4度C'!$B:$B,"平均")</f>
        <v>0</v>
      </c>
      <c r="K21" s="80">
        <f>SUMIFS('0730 4度C'!$AD:$AD,'0730 4度C'!$A:$A,"新豐8線",'0730 4度C'!$B:$B,"平均")</f>
        <v>0</v>
      </c>
      <c r="L21" s="78">
        <f>SUMIFS('0730 4度C'!$AD:$AD,'0730 4度C'!$A:$A,"新豐9線",'0730 4度C'!$B:$B,"平均")</f>
        <v>0</v>
      </c>
      <c r="M21" s="79">
        <f>SUMIFS('0730 4度C'!$AD:$AD,'0730 4度C'!$A:$A,"新豐4線",'0730 4度C'!$B:$B,"平均")</f>
        <v>0</v>
      </c>
    </row>
    <row r="22" spans="2:13" ht="17.25" customHeight="1">
      <c r="B22" s="546" t="s">
        <v>2623</v>
      </c>
      <c r="C22" s="547"/>
      <c r="D22" s="81">
        <f>SUMIFS('0730 4度C'!$I:$I,'0730 4度C'!$A:$A,"新豐6線",'0730 4度C'!$B:$B,"平均")</f>
        <v>15.333333333333334</v>
      </c>
      <c r="E22" s="82">
        <f>SUMIFS('0730 4度C'!$I:$I,'0730 4度C'!$A:$A,"新豐2線",'0730 4度C'!$B:$B,"平均")</f>
        <v>17.399999999999999</v>
      </c>
      <c r="F22" s="82">
        <f>SUMIFS('0730 4度C'!$I:$I,'0730 4度C'!$A:$A,"新豐5線",'0730 4度C'!$B:$B,"平均")</f>
        <v>18.428571428571427</v>
      </c>
      <c r="G22" s="82">
        <f>SUMIFS('0730 4度C'!$I:$I,'0730 4度C'!$A:$A,"新豐7線",'0730 4度C'!$B:$B,"平均")</f>
        <v>15.666666666666666</v>
      </c>
      <c r="H22" s="82">
        <f>SUMIFS('0730 4度C'!$I:$I,'0730 4度C'!$A:$A,"新豐3線",'0730 4度C'!$B:$B,"平均")</f>
        <v>9.25</v>
      </c>
      <c r="I22" s="82">
        <f>SUMIFS('0730 4度C'!$I:$I,'0730 4度C'!$A:$A,"新豐1線",'0730 4度C'!$B:$B,"平均")</f>
        <v>17.777777777777779</v>
      </c>
      <c r="J22" s="83">
        <f>SUMIFS('0730 4度C'!$I:$I,'0730 4度C'!$A:$A,"新豐10線",'0730 4度C'!$B:$B,"平均")</f>
        <v>10.25</v>
      </c>
      <c r="K22" s="81">
        <f>SUMIFS('0730 4度C'!$I:$I,'0730 4度C'!$A:$A,"新豐8線",'0730 4度C'!$B:$B,"平均")</f>
        <v>17.555555555555557</v>
      </c>
      <c r="L22" s="82">
        <f>SUMIFS('0730 4度C'!$I:$I,'0730 4度C'!$A:$A,"新豐9線",'0730 4度C'!$B:$B,"平均")</f>
        <v>17</v>
      </c>
      <c r="M22" s="83">
        <f>SUMIFS('0730 4度C'!$I:$I,'0730 4度C'!$A:$A,"新豐4線",'0730 4度C'!$B:$B,"平均")</f>
        <v>15.888888888888889</v>
      </c>
    </row>
    <row r="23" spans="2:13" ht="17.25" customHeight="1">
      <c r="B23" s="546" t="s">
        <v>2624</v>
      </c>
      <c r="C23" s="547"/>
      <c r="D23" s="84" t="s">
        <v>54</v>
      </c>
      <c r="E23" s="85" t="s">
        <v>55</v>
      </c>
      <c r="F23" s="85" t="s">
        <v>2625</v>
      </c>
      <c r="G23" s="85" t="s">
        <v>2625</v>
      </c>
      <c r="H23" s="85" t="s">
        <v>56</v>
      </c>
      <c r="I23" s="85" t="s">
        <v>54</v>
      </c>
      <c r="J23" s="86" t="s">
        <v>56</v>
      </c>
      <c r="K23" s="84" t="s">
        <v>2626</v>
      </c>
      <c r="L23" s="85" t="s">
        <v>2626</v>
      </c>
      <c r="M23" s="86" t="s">
        <v>2626</v>
      </c>
    </row>
    <row r="24" spans="2:13" ht="17.25" customHeight="1">
      <c r="B24" s="546" t="s">
        <v>2627</v>
      </c>
      <c r="C24" s="547"/>
      <c r="D24" s="84"/>
      <c r="E24" s="85"/>
      <c r="F24" s="85" t="s">
        <v>2628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2629</v>
      </c>
      <c r="C25" s="549"/>
      <c r="D25" s="87"/>
      <c r="E25" s="88" t="s">
        <v>2630</v>
      </c>
      <c r="F25" s="542" t="s">
        <v>2631</v>
      </c>
      <c r="G25" s="543"/>
      <c r="H25" s="88" t="s">
        <v>2632</v>
      </c>
      <c r="I25" s="88" t="s">
        <v>2633</v>
      </c>
      <c r="J25" s="89" t="s">
        <v>2632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topLeftCell="O1" zoomScale="80" zoomScaleNormal="80" workbookViewId="0">
      <pane ySplit="4" topLeftCell="A5" activePane="bottomLeft" state="frozen"/>
      <selection activeCell="I8" sqref="I8:J8"/>
      <selection pane="bottomLeft" activeCell="V76" sqref="V7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2634</v>
      </c>
      <c r="B1" s="1"/>
      <c r="C1" s="2" t="s">
        <v>2635</v>
      </c>
      <c r="D1" s="3">
        <f>SUM(F5:F76)</f>
        <v>172118</v>
      </c>
      <c r="E1" s="518" t="s">
        <v>131</v>
      </c>
      <c r="F1" s="1">
        <f>SUM(G5:G76)</f>
        <v>5885033.5900000008</v>
      </c>
      <c r="G1" s="1" t="s">
        <v>2636</v>
      </c>
      <c r="H1" s="4">
        <f>L8+L14+L51+L61+L22+L66+L39+L46+L29+L76</f>
        <v>154.55079365079365</v>
      </c>
      <c r="I1" s="654" t="s">
        <v>2637</v>
      </c>
      <c r="J1" s="654"/>
      <c r="K1" s="654"/>
      <c r="L1" s="654" t="s">
        <v>2638</v>
      </c>
      <c r="M1" s="654"/>
      <c r="N1" s="654"/>
      <c r="O1" s="654" t="s">
        <v>2639</v>
      </c>
      <c r="P1" s="654"/>
      <c r="Q1" s="654"/>
      <c r="R1" s="654"/>
      <c r="S1" s="654" t="s">
        <v>2640</v>
      </c>
      <c r="T1" s="654"/>
      <c r="U1" s="654"/>
      <c r="V1" s="654"/>
      <c r="W1" s="654"/>
      <c r="X1" s="654"/>
      <c r="Y1" s="5" t="s">
        <v>2641</v>
      </c>
      <c r="Z1" s="6" t="s">
        <v>2642</v>
      </c>
      <c r="AA1" s="655" t="s">
        <v>139</v>
      </c>
      <c r="AB1" s="655"/>
      <c r="AC1" s="134" t="s">
        <v>2641</v>
      </c>
      <c r="AD1" s="6" t="s">
        <v>140</v>
      </c>
      <c r="AE1" s="654" t="s">
        <v>2643</v>
      </c>
      <c r="AF1" s="656"/>
      <c r="AG1" s="656"/>
    </row>
    <row r="2" spans="1:33" ht="26.25" customHeight="1">
      <c r="A2" s="25">
        <v>46233</v>
      </c>
      <c r="B2" s="26" t="s">
        <v>250</v>
      </c>
      <c r="C2" s="2" t="s">
        <v>2644</v>
      </c>
      <c r="D2" s="8">
        <f>AVERAGE(N8,N14,N51,N61,N22,N66,N29,N39,N46,N76)</f>
        <v>152.4712863202877</v>
      </c>
      <c r="E2" s="9" t="s">
        <v>0</v>
      </c>
      <c r="F2" s="10">
        <f>F1/D1</f>
        <v>34.191854367352633</v>
      </c>
      <c r="G2" s="1" t="s">
        <v>143</v>
      </c>
      <c r="H2" s="526">
        <f>COUNT(H5:H76)</f>
        <v>9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SUM(Y8+Y14+Y22+Y29+Y39+Y46+Y51+Y61+Y66+Y76)</f>
        <v>0</v>
      </c>
      <c r="Z2" s="11">
        <f>SUM(Z8+Z14+Z22+Z29+Z39+Z46+Z51+Z61+Z66+Z76)</f>
        <v>0</v>
      </c>
      <c r="AA2" s="655"/>
      <c r="AB2" s="655"/>
      <c r="AC2" s="135">
        <v>62</v>
      </c>
      <c r="AD2" s="11">
        <f>SUM(AD8+AD14+AD22+AD29+AD39+AD46+AD51+AD61+AD66+AD76)</f>
        <v>0</v>
      </c>
      <c r="AE2" s="656"/>
      <c r="AF2" s="656"/>
      <c r="AG2" s="656"/>
    </row>
    <row r="3" spans="1:33" ht="40.5" customHeight="1">
      <c r="A3" s="612" t="s">
        <v>2645</v>
      </c>
      <c r="B3" s="612" t="s">
        <v>2646</v>
      </c>
      <c r="C3" s="612" t="s">
        <v>2647</v>
      </c>
      <c r="D3" s="612"/>
      <c r="E3" s="652" t="s">
        <v>2648</v>
      </c>
      <c r="F3" s="612" t="s">
        <v>2649</v>
      </c>
      <c r="G3" s="652" t="s">
        <v>149</v>
      </c>
      <c r="H3" s="645" t="s">
        <v>150</v>
      </c>
      <c r="I3" s="644" t="s">
        <v>153</v>
      </c>
      <c r="J3" s="641" t="s">
        <v>151</v>
      </c>
      <c r="K3" s="650" t="s">
        <v>2644</v>
      </c>
      <c r="L3" s="644" t="s">
        <v>153</v>
      </c>
      <c r="M3" s="641" t="s">
        <v>2650</v>
      </c>
      <c r="N3" s="650" t="s">
        <v>2644</v>
      </c>
      <c r="O3" s="644" t="s">
        <v>153</v>
      </c>
      <c r="P3" s="650" t="s">
        <v>142</v>
      </c>
      <c r="Q3" s="642" t="s">
        <v>2651</v>
      </c>
      <c r="R3" s="621" t="s">
        <v>159</v>
      </c>
      <c r="S3" s="651" t="s">
        <v>1</v>
      </c>
      <c r="T3" s="651"/>
      <c r="U3" s="645" t="s">
        <v>2</v>
      </c>
      <c r="V3" s="645" t="s">
        <v>2652</v>
      </c>
      <c r="W3" s="612" t="s">
        <v>2653</v>
      </c>
      <c r="X3" s="612"/>
      <c r="Y3" s="646" t="s">
        <v>2654</v>
      </c>
      <c r="Z3" s="611"/>
      <c r="AA3" s="647" t="s">
        <v>2655</v>
      </c>
      <c r="AB3" s="648"/>
      <c r="AC3" s="646" t="s">
        <v>2656</v>
      </c>
      <c r="AD3" s="611"/>
      <c r="AE3" s="641" t="s">
        <v>2650</v>
      </c>
      <c r="AF3" s="642" t="s">
        <v>2651</v>
      </c>
      <c r="AG3" s="621" t="s">
        <v>2657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525" t="s">
        <v>3</v>
      </c>
      <c r="T4" s="525" t="s">
        <v>4</v>
      </c>
      <c r="U4" s="645"/>
      <c r="V4" s="645"/>
      <c r="W4" s="518" t="s">
        <v>2658</v>
      </c>
      <c r="X4" s="518" t="s">
        <v>2659</v>
      </c>
      <c r="Y4" s="517" t="s">
        <v>2660</v>
      </c>
      <c r="Z4" s="517" t="s">
        <v>2661</v>
      </c>
      <c r="AA4" s="649"/>
      <c r="AB4" s="648"/>
      <c r="AC4" s="517" t="s">
        <v>2662</v>
      </c>
      <c r="AD4" s="517" t="s">
        <v>171</v>
      </c>
      <c r="AE4" s="641"/>
      <c r="AF4" s="642"/>
      <c r="AG4" s="621"/>
    </row>
    <row r="5" spans="1:33">
      <c r="A5" s="643" t="s">
        <v>2663</v>
      </c>
      <c r="B5" s="27" t="s">
        <v>5</v>
      </c>
      <c r="C5" s="638" t="s">
        <v>14</v>
      </c>
      <c r="D5" s="639"/>
      <c r="E5" s="27">
        <v>50.92</v>
      </c>
      <c r="F5" s="525">
        <v>1708</v>
      </c>
      <c r="G5" s="518">
        <f t="shared" ref="G5:G7" si="0">E5*F5</f>
        <v>86971.36</v>
      </c>
      <c r="H5" s="31" t="s">
        <v>40</v>
      </c>
      <c r="I5" s="523">
        <v>15</v>
      </c>
      <c r="J5" s="29">
        <v>2000</v>
      </c>
      <c r="K5" s="12">
        <f t="shared" ref="K5:K68" si="1">J5/I5</f>
        <v>133.33333333333334</v>
      </c>
      <c r="L5" s="523">
        <v>15</v>
      </c>
      <c r="M5" s="13">
        <f t="shared" ref="M5:M7" si="2">F5/V5*60</f>
        <v>1933.5849056603786</v>
      </c>
      <c r="N5" s="12">
        <f t="shared" ref="N5:N68" si="3">M5/L5</f>
        <v>128.90566037735857</v>
      </c>
      <c r="O5" s="14">
        <f t="shared" ref="O5:O68" si="4">L5-I5</f>
        <v>0</v>
      </c>
      <c r="P5" s="15">
        <f t="shared" ref="P5:P68" si="5">N5-K5</f>
        <v>-4.4276729559747707</v>
      </c>
      <c r="Q5" s="519">
        <f t="shared" ref="Q5:Q68" si="6">N5/K5</f>
        <v>0.96679245283018922</v>
      </c>
      <c r="R5" s="616">
        <f>Q8</f>
        <v>0.96254794867301441</v>
      </c>
      <c r="S5" s="32">
        <v>0.70833333333333337</v>
      </c>
      <c r="T5" s="32">
        <v>0.74513888888888891</v>
      </c>
      <c r="U5" s="518"/>
      <c r="V5" s="524">
        <f t="shared" ref="V5:V7" si="7">(T5-S5)*24*60</f>
        <v>52.999999999999972</v>
      </c>
      <c r="W5" s="16"/>
      <c r="X5" s="16"/>
      <c r="Y5" s="17"/>
      <c r="Z5" s="17"/>
      <c r="AA5" s="612"/>
      <c r="AB5" s="612"/>
      <c r="AC5" s="136">
        <v>3</v>
      </c>
      <c r="AD5" s="18"/>
      <c r="AE5" s="14">
        <f t="shared" ref="AE5:AE60" si="8">M5-J5</f>
        <v>-66.415094339621419</v>
      </c>
      <c r="AF5" s="519">
        <f t="shared" ref="AF5:AF68" si="9">M5/J5</f>
        <v>0.96679245283018933</v>
      </c>
      <c r="AG5" s="616">
        <f>AF8</f>
        <v>0.96254794867301452</v>
      </c>
    </row>
    <row r="6" spans="1:33">
      <c r="A6" s="644" t="s">
        <v>172</v>
      </c>
      <c r="B6" s="27" t="s">
        <v>5</v>
      </c>
      <c r="C6" s="638" t="s">
        <v>19</v>
      </c>
      <c r="D6" s="639"/>
      <c r="E6" s="27">
        <v>50.98</v>
      </c>
      <c r="F6" s="525">
        <v>1834</v>
      </c>
      <c r="G6" s="518">
        <f t="shared" si="0"/>
        <v>93497.319999999992</v>
      </c>
      <c r="H6" s="31" t="s">
        <v>40</v>
      </c>
      <c r="I6" s="523">
        <v>16</v>
      </c>
      <c r="J6" s="29">
        <v>2000</v>
      </c>
      <c r="K6" s="12">
        <f t="shared" si="1"/>
        <v>125</v>
      </c>
      <c r="L6" s="523">
        <v>16</v>
      </c>
      <c r="M6" s="13">
        <f t="shared" si="2"/>
        <v>1930.5263157894753</v>
      </c>
      <c r="N6" s="12">
        <f t="shared" si="3"/>
        <v>120.65789473684221</v>
      </c>
      <c r="O6" s="14">
        <f t="shared" si="4"/>
        <v>0</v>
      </c>
      <c r="P6" s="15">
        <f t="shared" si="5"/>
        <v>-4.3421052631577908</v>
      </c>
      <c r="Q6" s="519">
        <f t="shared" si="6"/>
        <v>0.96526315789473771</v>
      </c>
      <c r="R6" s="616"/>
      <c r="S6" s="32">
        <v>0.75</v>
      </c>
      <c r="T6" s="32">
        <v>0.7895833333333333</v>
      </c>
      <c r="U6" s="518">
        <f t="shared" ref="U6:U7" si="10">IF(S6=TIME(17,0,0),"",(S6-T5)*24*60)</f>
        <v>6.9999999999999751</v>
      </c>
      <c r="V6" s="524">
        <f t="shared" si="7"/>
        <v>56.999999999999957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-69.473684210524652</v>
      </c>
      <c r="AF6" s="519">
        <f t="shared" si="9"/>
        <v>0.96526315789473771</v>
      </c>
      <c r="AG6" s="616"/>
    </row>
    <row r="7" spans="1:33">
      <c r="A7" s="644" t="s">
        <v>2663</v>
      </c>
      <c r="B7" s="27" t="s">
        <v>5</v>
      </c>
      <c r="C7" s="638" t="s">
        <v>7</v>
      </c>
      <c r="D7" s="639"/>
      <c r="E7" s="27">
        <v>50.67</v>
      </c>
      <c r="F7" s="525">
        <v>1083</v>
      </c>
      <c r="G7" s="518">
        <f t="shared" si="0"/>
        <v>54875.61</v>
      </c>
      <c r="H7" s="31" t="s">
        <v>40</v>
      </c>
      <c r="I7" s="523">
        <v>15</v>
      </c>
      <c r="J7" s="29">
        <v>2000</v>
      </c>
      <c r="K7" s="12">
        <f t="shared" si="1"/>
        <v>133.33333333333334</v>
      </c>
      <c r="L7" s="523">
        <v>15</v>
      </c>
      <c r="M7" s="13">
        <f t="shared" si="2"/>
        <v>1911.1764705882329</v>
      </c>
      <c r="N7" s="12">
        <f t="shared" si="3"/>
        <v>127.41176470588219</v>
      </c>
      <c r="O7" s="14">
        <f t="shared" si="4"/>
        <v>0</v>
      </c>
      <c r="P7" s="15">
        <f t="shared" si="5"/>
        <v>-5.9215686274511512</v>
      </c>
      <c r="Q7" s="519">
        <f t="shared" si="6"/>
        <v>0.95558823529411641</v>
      </c>
      <c r="R7" s="616"/>
      <c r="S7" s="32">
        <v>0.79305555555555551</v>
      </c>
      <c r="T7" s="32">
        <v>0.81666666666666665</v>
      </c>
      <c r="U7" s="518">
        <f t="shared" si="10"/>
        <v>4.9999999999999822</v>
      </c>
      <c r="V7" s="524">
        <f t="shared" si="7"/>
        <v>34.000000000000043</v>
      </c>
      <c r="W7" s="16"/>
      <c r="X7" s="16"/>
      <c r="Y7" s="19"/>
      <c r="Z7" s="19"/>
      <c r="AA7" s="607"/>
      <c r="AB7" s="608"/>
      <c r="AC7" s="136"/>
      <c r="AD7" s="267"/>
      <c r="AE7" s="14">
        <f t="shared" si="8"/>
        <v>-88.82352941176714</v>
      </c>
      <c r="AF7" s="519">
        <f t="shared" si="9"/>
        <v>0.95558823529411641</v>
      </c>
      <c r="AG7" s="616"/>
    </row>
    <row r="8" spans="1:33">
      <c r="A8" s="644" t="s">
        <v>2664</v>
      </c>
      <c r="B8" s="27" t="s">
        <v>174</v>
      </c>
      <c r="C8" s="609"/>
      <c r="D8" s="610"/>
      <c r="E8" s="520"/>
      <c r="F8" s="28"/>
      <c r="G8" s="12"/>
      <c r="H8" s="525"/>
      <c r="I8" s="21">
        <v>15.333333333333334</v>
      </c>
      <c r="J8" s="29">
        <v>2000</v>
      </c>
      <c r="K8" s="12">
        <f t="shared" si="1"/>
        <v>130.43478260869566</v>
      </c>
      <c r="L8" s="21">
        <v>15.333333333333334</v>
      </c>
      <c r="M8" s="13">
        <f>AVERAGE(M5:M7)</f>
        <v>1925.095897346029</v>
      </c>
      <c r="N8" s="12">
        <f t="shared" si="3"/>
        <v>125.54973243561058</v>
      </c>
      <c r="O8" s="14">
        <f t="shared" si="4"/>
        <v>0</v>
      </c>
      <c r="P8" s="15">
        <f t="shared" si="5"/>
        <v>-4.8850501730850766</v>
      </c>
      <c r="Q8" s="519">
        <f t="shared" si="6"/>
        <v>0.96254794867301441</v>
      </c>
      <c r="R8" s="616"/>
      <c r="S8" s="32"/>
      <c r="T8" s="32"/>
      <c r="U8" s="518"/>
      <c r="V8" s="524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-74.904102653970995</v>
      </c>
      <c r="AF8" s="519">
        <f t="shared" si="9"/>
        <v>0.96254794867301452</v>
      </c>
      <c r="AG8" s="616"/>
    </row>
    <row r="9" spans="1:33" ht="15.75" customHeight="1">
      <c r="A9" s="640" t="s">
        <v>2665</v>
      </c>
      <c r="B9" s="27" t="s">
        <v>8</v>
      </c>
      <c r="C9" s="638" t="s">
        <v>10</v>
      </c>
      <c r="D9" s="639"/>
      <c r="E9" s="27">
        <v>39.799999999999997</v>
      </c>
      <c r="F9" s="525">
        <v>3700</v>
      </c>
      <c r="G9" s="518">
        <f t="shared" ref="G9:G13" si="11">E9*F9</f>
        <v>147260</v>
      </c>
      <c r="H9" s="31">
        <v>2</v>
      </c>
      <c r="I9" s="523">
        <v>17</v>
      </c>
      <c r="J9" s="29">
        <v>1500</v>
      </c>
      <c r="K9" s="12">
        <f t="shared" si="1"/>
        <v>88.235294117647058</v>
      </c>
      <c r="L9" s="523">
        <v>17</v>
      </c>
      <c r="M9" s="13">
        <f t="shared" ref="M9:M13" si="12">F9/V9*60</f>
        <v>1432.2580645161293</v>
      </c>
      <c r="N9" s="12">
        <f t="shared" si="3"/>
        <v>84.250474383301722</v>
      </c>
      <c r="O9" s="14">
        <f t="shared" si="4"/>
        <v>0</v>
      </c>
      <c r="P9" s="15">
        <f t="shared" si="5"/>
        <v>-3.9848197343453364</v>
      </c>
      <c r="Q9" s="519">
        <f t="shared" si="6"/>
        <v>0.95483870967741957</v>
      </c>
      <c r="R9" s="616">
        <f>Q14</f>
        <v>0.95541406505015014</v>
      </c>
      <c r="S9" s="32">
        <v>8.3333333333333329E-2</v>
      </c>
      <c r="T9" s="32">
        <v>0.19097222222222221</v>
      </c>
      <c r="U9" s="518"/>
      <c r="V9" s="524">
        <f t="shared" ref="V9:V13" si="13">(T9-S9)*24*60</f>
        <v>154.99999999999997</v>
      </c>
      <c r="W9" s="16">
        <f>T9</f>
        <v>0.19097222222222221</v>
      </c>
      <c r="X9" s="16">
        <f>S10</f>
        <v>0.20972222222222223</v>
      </c>
      <c r="Y9" s="16"/>
      <c r="Z9" s="16"/>
      <c r="AA9" s="612"/>
      <c r="AB9" s="612"/>
      <c r="AC9" s="136">
        <v>5</v>
      </c>
      <c r="AD9" s="18"/>
      <c r="AE9" s="14">
        <f t="shared" si="8"/>
        <v>-67.741935483870748</v>
      </c>
      <c r="AF9" s="519">
        <f t="shared" si="9"/>
        <v>0.95483870967741946</v>
      </c>
      <c r="AG9" s="616">
        <f>AF14</f>
        <v>0.95541406505015003</v>
      </c>
    </row>
    <row r="10" spans="1:33" ht="15.75" customHeight="1">
      <c r="A10" s="640" t="s">
        <v>175</v>
      </c>
      <c r="B10" s="27" t="s">
        <v>8</v>
      </c>
      <c r="C10" s="638" t="s">
        <v>63</v>
      </c>
      <c r="D10" s="639"/>
      <c r="E10" s="27">
        <v>39.46</v>
      </c>
      <c r="F10" s="525">
        <v>2654</v>
      </c>
      <c r="G10" s="518">
        <f t="shared" si="11"/>
        <v>104726.84</v>
      </c>
      <c r="H10" s="31" t="s">
        <v>40</v>
      </c>
      <c r="I10" s="523">
        <v>15</v>
      </c>
      <c r="J10" s="29">
        <v>1500</v>
      </c>
      <c r="K10" s="12">
        <f t="shared" si="1"/>
        <v>100</v>
      </c>
      <c r="L10" s="523">
        <v>15</v>
      </c>
      <c r="M10" s="13">
        <f t="shared" si="12"/>
        <v>1434.594594594595</v>
      </c>
      <c r="N10" s="12">
        <f t="shared" si="3"/>
        <v>95.639639639639668</v>
      </c>
      <c r="O10" s="14">
        <f t="shared" si="4"/>
        <v>0</v>
      </c>
      <c r="P10" s="15">
        <f t="shared" si="5"/>
        <v>-4.3603603603603318</v>
      </c>
      <c r="Q10" s="519">
        <f t="shared" si="6"/>
        <v>0.95639639639639673</v>
      </c>
      <c r="R10" s="616"/>
      <c r="S10" s="32">
        <v>0.20972222222222223</v>
      </c>
      <c r="T10" s="32">
        <v>0.28680555555555554</v>
      </c>
      <c r="U10" s="518">
        <f t="shared" ref="U10:U13" si="14">IF(S10=TIME(17,0,0),"",(S10-T9)*24*60)</f>
        <v>27.000000000000025</v>
      </c>
      <c r="V10" s="524">
        <f t="shared" si="13"/>
        <v>110.99999999999997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-65.405405405404963</v>
      </c>
      <c r="AF10" s="519">
        <f t="shared" si="9"/>
        <v>0.95639639639639673</v>
      </c>
      <c r="AG10" s="616"/>
    </row>
    <row r="11" spans="1:33" ht="15.75" customHeight="1">
      <c r="A11" s="640" t="s">
        <v>175</v>
      </c>
      <c r="B11" s="27" t="s">
        <v>8</v>
      </c>
      <c r="C11" s="638" t="s">
        <v>74</v>
      </c>
      <c r="D11" s="639"/>
      <c r="E11" s="27">
        <v>39.520000000000003</v>
      </c>
      <c r="F11" s="525">
        <v>2311</v>
      </c>
      <c r="G11" s="518">
        <f t="shared" si="11"/>
        <v>91330.72</v>
      </c>
      <c r="H11" s="31" t="s">
        <v>40</v>
      </c>
      <c r="I11" s="523">
        <v>19</v>
      </c>
      <c r="J11" s="29">
        <v>1500</v>
      </c>
      <c r="K11" s="12">
        <f t="shared" si="1"/>
        <v>78.94736842105263</v>
      </c>
      <c r="L11" s="523">
        <v>19</v>
      </c>
      <c r="M11" s="13">
        <f t="shared" si="12"/>
        <v>1429.4845360824747</v>
      </c>
      <c r="N11" s="12">
        <f t="shared" si="3"/>
        <v>75.23602821486709</v>
      </c>
      <c r="O11" s="14">
        <f t="shared" si="4"/>
        <v>0</v>
      </c>
      <c r="P11" s="15">
        <f t="shared" si="5"/>
        <v>-3.7113402061855396</v>
      </c>
      <c r="Q11" s="519">
        <f t="shared" si="6"/>
        <v>0.95298969072164985</v>
      </c>
      <c r="R11" s="616"/>
      <c r="S11" s="32">
        <v>0.29027777777777775</v>
      </c>
      <c r="T11" s="32">
        <v>0.35763888888888884</v>
      </c>
      <c r="U11" s="518">
        <f t="shared" si="14"/>
        <v>4.9999999999999822</v>
      </c>
      <c r="V11" s="524">
        <f t="shared" si="13"/>
        <v>96.999999999999972</v>
      </c>
      <c r="W11" s="16"/>
      <c r="X11" s="16"/>
      <c r="Y11" s="16"/>
      <c r="Z11" s="16"/>
      <c r="AA11" s="612"/>
      <c r="AB11" s="612"/>
      <c r="AC11" s="136"/>
      <c r="AD11" s="18"/>
      <c r="AE11" s="14">
        <f t="shared" si="8"/>
        <v>-70.515463917525267</v>
      </c>
      <c r="AF11" s="519">
        <f t="shared" si="9"/>
        <v>0.95298969072164985</v>
      </c>
      <c r="AG11" s="616"/>
    </row>
    <row r="12" spans="1:33" ht="15.75" customHeight="1">
      <c r="A12" s="640" t="s">
        <v>175</v>
      </c>
      <c r="B12" s="27" t="s">
        <v>8</v>
      </c>
      <c r="C12" s="638" t="s">
        <v>9</v>
      </c>
      <c r="D12" s="639"/>
      <c r="E12" s="27">
        <v>39.619999999999997</v>
      </c>
      <c r="F12" s="525">
        <v>4004</v>
      </c>
      <c r="G12" s="518">
        <f t="shared" si="11"/>
        <v>158638.47999999998</v>
      </c>
      <c r="H12" s="31" t="s">
        <v>40</v>
      </c>
      <c r="I12" s="523">
        <v>19</v>
      </c>
      <c r="J12" s="29">
        <v>1500</v>
      </c>
      <c r="K12" s="12">
        <f t="shared" si="1"/>
        <v>78.94736842105263</v>
      </c>
      <c r="L12" s="523">
        <v>19</v>
      </c>
      <c r="M12" s="13">
        <f t="shared" si="12"/>
        <v>1430.0000000000002</v>
      </c>
      <c r="N12" s="12">
        <f t="shared" si="3"/>
        <v>75.26315789473685</v>
      </c>
      <c r="O12" s="14">
        <f t="shared" si="4"/>
        <v>0</v>
      </c>
      <c r="P12" s="15">
        <f t="shared" si="5"/>
        <v>-3.6842105263157805</v>
      </c>
      <c r="Q12" s="519">
        <f t="shared" si="6"/>
        <v>0.95333333333333348</v>
      </c>
      <c r="R12" s="616"/>
      <c r="S12" s="32">
        <v>0.36249999999999993</v>
      </c>
      <c r="T12" s="32">
        <v>0.47916666666666657</v>
      </c>
      <c r="U12" s="518">
        <f t="shared" si="14"/>
        <v>6.9999999999999751</v>
      </c>
      <c r="V12" s="524">
        <f t="shared" si="13"/>
        <v>167.99999999999997</v>
      </c>
      <c r="W12" s="16">
        <f>T12</f>
        <v>0.47916666666666657</v>
      </c>
      <c r="X12" s="16">
        <f>S13</f>
        <v>0.51944444444444426</v>
      </c>
      <c r="Y12" s="16"/>
      <c r="Z12" s="16"/>
      <c r="AA12" s="607"/>
      <c r="AB12" s="608"/>
      <c r="AC12" s="136"/>
      <c r="AD12" s="18"/>
      <c r="AE12" s="14">
        <f t="shared" si="8"/>
        <v>-69.999999999999773</v>
      </c>
      <c r="AF12" s="519">
        <f t="shared" si="9"/>
        <v>0.95333333333333348</v>
      </c>
      <c r="AG12" s="616"/>
    </row>
    <row r="13" spans="1:33" ht="15.75" customHeight="1">
      <c r="A13" s="640" t="s">
        <v>175</v>
      </c>
      <c r="B13" s="27" t="s">
        <v>8</v>
      </c>
      <c r="C13" s="638" t="s">
        <v>10</v>
      </c>
      <c r="D13" s="639"/>
      <c r="E13" s="27">
        <v>39.799999999999997</v>
      </c>
      <c r="F13" s="525">
        <v>1967</v>
      </c>
      <c r="G13" s="518">
        <f t="shared" si="11"/>
        <v>78286.599999999991</v>
      </c>
      <c r="H13" s="31" t="s">
        <v>40</v>
      </c>
      <c r="I13" s="523">
        <v>17</v>
      </c>
      <c r="J13" s="29">
        <v>1500</v>
      </c>
      <c r="K13" s="12">
        <f t="shared" si="1"/>
        <v>88.235294117647058</v>
      </c>
      <c r="L13" s="523">
        <v>17</v>
      </c>
      <c r="M13" s="13">
        <f t="shared" si="12"/>
        <v>1439.2682926829264</v>
      </c>
      <c r="N13" s="12">
        <f t="shared" si="3"/>
        <v>84.662840746054485</v>
      </c>
      <c r="O13" s="14">
        <f t="shared" si="4"/>
        <v>0</v>
      </c>
      <c r="P13" s="15">
        <f t="shared" si="5"/>
        <v>-3.572453371592573</v>
      </c>
      <c r="Q13" s="519">
        <f t="shared" si="6"/>
        <v>0.95951219512195085</v>
      </c>
      <c r="R13" s="616"/>
      <c r="S13" s="32">
        <v>0.51944444444444426</v>
      </c>
      <c r="T13" s="32">
        <v>0.57638888888888873</v>
      </c>
      <c r="U13" s="518">
        <f t="shared" si="14"/>
        <v>57.999999999999872</v>
      </c>
      <c r="V13" s="524">
        <f t="shared" si="13"/>
        <v>82.000000000000028</v>
      </c>
      <c r="W13" s="16"/>
      <c r="X13" s="16"/>
      <c r="Y13" s="19"/>
      <c r="Z13" s="19"/>
      <c r="AA13" s="607"/>
      <c r="AB13" s="608"/>
      <c r="AC13" s="136"/>
      <c r="AD13" s="18"/>
      <c r="AE13" s="14">
        <f t="shared" si="8"/>
        <v>-60.731707317073642</v>
      </c>
      <c r="AF13" s="519">
        <f t="shared" si="9"/>
        <v>0.95951219512195085</v>
      </c>
      <c r="AG13" s="616"/>
    </row>
    <row r="14" spans="1:33" ht="16.5" customHeight="1">
      <c r="A14" s="640" t="s">
        <v>175</v>
      </c>
      <c r="B14" s="27" t="s">
        <v>174</v>
      </c>
      <c r="C14" s="609"/>
      <c r="D14" s="610"/>
      <c r="E14" s="520"/>
      <c r="F14" s="29"/>
      <c r="G14" s="13"/>
      <c r="H14" s="525"/>
      <c r="I14" s="21">
        <v>17.399999999999999</v>
      </c>
      <c r="J14" s="29">
        <v>1500</v>
      </c>
      <c r="K14" s="12">
        <f t="shared" si="1"/>
        <v>86.206896551724142</v>
      </c>
      <c r="L14" s="21">
        <v>17.399999999999999</v>
      </c>
      <c r="M14" s="13">
        <f>AVERAGE(M9:M13)</f>
        <v>1433.1210975752251</v>
      </c>
      <c r="N14" s="12">
        <f t="shared" si="3"/>
        <v>82.36328146984053</v>
      </c>
      <c r="O14" s="14">
        <f t="shared" si="4"/>
        <v>0</v>
      </c>
      <c r="P14" s="15">
        <f t="shared" si="5"/>
        <v>-3.8436150818836126</v>
      </c>
      <c r="Q14" s="519">
        <f t="shared" si="6"/>
        <v>0.95541406505015014</v>
      </c>
      <c r="R14" s="616"/>
      <c r="S14" s="32"/>
      <c r="T14" s="32"/>
      <c r="U14" s="12"/>
      <c r="V14" s="524"/>
      <c r="W14" s="12"/>
      <c r="X14" s="12"/>
      <c r="Y14" s="22">
        <f>SUM(Y9:Y13)</f>
        <v>0</v>
      </c>
      <c r="Z14" s="22">
        <f>SUM(Z9:Z13)</f>
        <v>0</v>
      </c>
      <c r="AA14" s="611"/>
      <c r="AB14" s="611"/>
      <c r="AC14" s="22">
        <v>5</v>
      </c>
      <c r="AD14" s="22">
        <f>SUM(AD9:AD13)</f>
        <v>0</v>
      </c>
      <c r="AE14" s="14">
        <f t="shared" si="8"/>
        <v>-66.878902424774878</v>
      </c>
      <c r="AF14" s="519">
        <f t="shared" si="9"/>
        <v>0.95541406505015003</v>
      </c>
      <c r="AG14" s="616"/>
    </row>
    <row r="15" spans="1:33" ht="16.5" customHeight="1">
      <c r="A15" s="636" t="s">
        <v>178</v>
      </c>
      <c r="B15" s="525" t="s">
        <v>1134</v>
      </c>
      <c r="C15" s="631" t="s">
        <v>1035</v>
      </c>
      <c r="D15" s="632"/>
      <c r="E15" s="27">
        <v>31.11</v>
      </c>
      <c r="F15" s="525">
        <v>3138</v>
      </c>
      <c r="G15" s="518">
        <f t="shared" ref="G15:G21" si="15">E15*F15</f>
        <v>97623.18</v>
      </c>
      <c r="H15" s="31" t="s">
        <v>40</v>
      </c>
      <c r="I15" s="523">
        <v>14</v>
      </c>
      <c r="J15" s="29">
        <v>2000</v>
      </c>
      <c r="K15" s="12">
        <f t="shared" si="1"/>
        <v>142.85714285714286</v>
      </c>
      <c r="L15" s="523">
        <v>14</v>
      </c>
      <c r="M15" s="13">
        <f t="shared" ref="M15:M21" si="16">F15/V15*60</f>
        <v>1921.2244897959185</v>
      </c>
      <c r="N15" s="12">
        <f t="shared" si="3"/>
        <v>137.23032069970847</v>
      </c>
      <c r="O15" s="14">
        <f t="shared" si="4"/>
        <v>0</v>
      </c>
      <c r="P15" s="15">
        <f t="shared" si="5"/>
        <v>-5.6268221574343897</v>
      </c>
      <c r="Q15" s="519">
        <f t="shared" si="6"/>
        <v>0.96061224489795927</v>
      </c>
      <c r="R15" s="616">
        <f>Q22</f>
        <v>0.96176120537861598</v>
      </c>
      <c r="S15" s="32">
        <v>8.3333333333333329E-2</v>
      </c>
      <c r="T15" s="32">
        <v>0.15138888888888888</v>
      </c>
      <c r="U15" s="518"/>
      <c r="V15" s="524">
        <f t="shared" ref="V15:V21" si="17">(T15-S15)*24*60</f>
        <v>98</v>
      </c>
      <c r="W15" s="16">
        <f>T15</f>
        <v>0.15138888888888888</v>
      </c>
      <c r="X15" s="16">
        <f>S16</f>
        <v>0.17222222222222222</v>
      </c>
      <c r="Y15" s="20"/>
      <c r="Z15" s="20"/>
      <c r="AA15" s="612"/>
      <c r="AB15" s="612"/>
      <c r="AC15" s="136">
        <v>7</v>
      </c>
      <c r="AD15" s="18"/>
      <c r="AE15" s="14">
        <f t="shared" si="8"/>
        <v>-78.775510204081456</v>
      </c>
      <c r="AF15" s="519">
        <f t="shared" si="9"/>
        <v>0.96061224489795927</v>
      </c>
      <c r="AG15" s="616">
        <f>AF22</f>
        <v>0.96176120537861609</v>
      </c>
    </row>
    <row r="16" spans="1:33" ht="16.5" customHeight="1">
      <c r="A16" s="637" t="s">
        <v>178</v>
      </c>
      <c r="B16" s="525" t="s">
        <v>11</v>
      </c>
      <c r="C16" s="631" t="s">
        <v>67</v>
      </c>
      <c r="D16" s="632"/>
      <c r="E16" s="27">
        <v>38.619999999999997</v>
      </c>
      <c r="F16" s="525">
        <v>2110</v>
      </c>
      <c r="G16" s="518">
        <f t="shared" si="15"/>
        <v>81488.2</v>
      </c>
      <c r="H16" s="31" t="s">
        <v>40</v>
      </c>
      <c r="I16" s="523">
        <v>24</v>
      </c>
      <c r="J16" s="29">
        <v>1500</v>
      </c>
      <c r="K16" s="12">
        <f t="shared" si="1"/>
        <v>62.5</v>
      </c>
      <c r="L16" s="523">
        <v>24</v>
      </c>
      <c r="M16" s="13">
        <f t="shared" si="16"/>
        <v>1438.6363636363635</v>
      </c>
      <c r="N16" s="12">
        <f t="shared" si="3"/>
        <v>59.943181818181813</v>
      </c>
      <c r="O16" s="14">
        <f t="shared" si="4"/>
        <v>0</v>
      </c>
      <c r="P16" s="15">
        <f t="shared" si="5"/>
        <v>-2.556818181818187</v>
      </c>
      <c r="Q16" s="519">
        <f t="shared" si="6"/>
        <v>0.95909090909090899</v>
      </c>
      <c r="R16" s="616"/>
      <c r="S16" s="32">
        <v>0.17222222222222222</v>
      </c>
      <c r="T16" s="32">
        <v>0.23333333333333334</v>
      </c>
      <c r="U16" s="518">
        <f t="shared" ref="U16:U21" si="18">IF(S16=TIME(17,0,0),"",(S16-T15)*24*60)</f>
        <v>30.000000000000014</v>
      </c>
      <c r="V16" s="524">
        <f t="shared" si="17"/>
        <v>88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-61.363636363636488</v>
      </c>
      <c r="AF16" s="519">
        <f t="shared" si="9"/>
        <v>0.95909090909090899</v>
      </c>
      <c r="AG16" s="616"/>
    </row>
    <row r="17" spans="1:33" ht="16.5" customHeight="1">
      <c r="A17" s="637" t="s">
        <v>178</v>
      </c>
      <c r="B17" s="525" t="s">
        <v>11</v>
      </c>
      <c r="C17" s="631" t="s">
        <v>12</v>
      </c>
      <c r="D17" s="632"/>
      <c r="E17" s="27">
        <v>41</v>
      </c>
      <c r="F17" s="525">
        <v>1802</v>
      </c>
      <c r="G17" s="518">
        <f t="shared" si="15"/>
        <v>73882</v>
      </c>
      <c r="H17" s="31" t="s">
        <v>40</v>
      </c>
      <c r="I17" s="523">
        <v>26</v>
      </c>
      <c r="J17" s="29">
        <v>1500</v>
      </c>
      <c r="K17" s="12">
        <f t="shared" si="1"/>
        <v>57.692307692307693</v>
      </c>
      <c r="L17" s="523">
        <v>26</v>
      </c>
      <c r="M17" s="13">
        <f t="shared" si="16"/>
        <v>1441.6</v>
      </c>
      <c r="N17" s="12">
        <f t="shared" si="3"/>
        <v>55.446153846153841</v>
      </c>
      <c r="O17" s="14">
        <f t="shared" si="4"/>
        <v>0</v>
      </c>
      <c r="P17" s="15">
        <f t="shared" si="5"/>
        <v>-2.2461538461538524</v>
      </c>
      <c r="Q17" s="519">
        <f t="shared" si="6"/>
        <v>0.96106666666666651</v>
      </c>
      <c r="R17" s="616"/>
      <c r="S17" s="32">
        <v>0.2388888888888889</v>
      </c>
      <c r="T17" s="32">
        <v>0.29097222222222224</v>
      </c>
      <c r="U17" s="518">
        <f t="shared" si="18"/>
        <v>8.0000000000000107</v>
      </c>
      <c r="V17" s="524">
        <f t="shared" si="17"/>
        <v>75.000000000000014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-58.400000000000091</v>
      </c>
      <c r="AF17" s="519">
        <f t="shared" si="9"/>
        <v>0.96106666666666662</v>
      </c>
      <c r="AG17" s="616"/>
    </row>
    <row r="18" spans="1:33" ht="16.5" customHeight="1">
      <c r="A18" s="637" t="s">
        <v>178</v>
      </c>
      <c r="B18" s="525" t="s">
        <v>5</v>
      </c>
      <c r="C18" s="631" t="s">
        <v>66</v>
      </c>
      <c r="D18" s="632"/>
      <c r="E18" s="27">
        <v>37.03</v>
      </c>
      <c r="F18" s="525">
        <v>3232</v>
      </c>
      <c r="G18" s="518">
        <f t="shared" si="15"/>
        <v>119680.96000000001</v>
      </c>
      <c r="H18" s="31" t="s">
        <v>40</v>
      </c>
      <c r="I18" s="523">
        <v>13</v>
      </c>
      <c r="J18" s="29">
        <v>1500</v>
      </c>
      <c r="K18" s="12">
        <f t="shared" si="1"/>
        <v>115.38461538461539</v>
      </c>
      <c r="L18" s="523">
        <v>13</v>
      </c>
      <c r="M18" s="13">
        <f t="shared" si="16"/>
        <v>1436.4444444444443</v>
      </c>
      <c r="N18" s="12">
        <f t="shared" si="3"/>
        <v>110.49572649572649</v>
      </c>
      <c r="O18" s="14">
        <f t="shared" si="4"/>
        <v>0</v>
      </c>
      <c r="P18" s="15">
        <f t="shared" si="5"/>
        <v>-4.8888888888888999</v>
      </c>
      <c r="Q18" s="519">
        <f t="shared" si="6"/>
        <v>0.9576296296296295</v>
      </c>
      <c r="R18" s="616"/>
      <c r="S18" s="32">
        <v>0.29652777777777778</v>
      </c>
      <c r="T18" s="32">
        <v>0.39027777777777778</v>
      </c>
      <c r="U18" s="518">
        <f t="shared" si="18"/>
        <v>7.9999999999999716</v>
      </c>
      <c r="V18" s="524">
        <f t="shared" si="17"/>
        <v>135</v>
      </c>
      <c r="W18" s="16"/>
      <c r="X18" s="16"/>
      <c r="Y18" s="16"/>
      <c r="Z18" s="16"/>
      <c r="AA18" s="612"/>
      <c r="AB18" s="612"/>
      <c r="AC18" s="136"/>
      <c r="AD18" s="18"/>
      <c r="AE18" s="14">
        <f t="shared" si="8"/>
        <v>-63.555555555555657</v>
      </c>
      <c r="AF18" s="519">
        <f t="shared" si="9"/>
        <v>0.95762962962962961</v>
      </c>
      <c r="AG18" s="616"/>
    </row>
    <row r="19" spans="1:33" ht="16.5" customHeight="1">
      <c r="A19" s="637" t="s">
        <v>178</v>
      </c>
      <c r="B19" s="525" t="s">
        <v>5</v>
      </c>
      <c r="C19" s="631" t="s">
        <v>6</v>
      </c>
      <c r="D19" s="632"/>
      <c r="E19" s="27">
        <v>50.67</v>
      </c>
      <c r="F19" s="525">
        <v>1171</v>
      </c>
      <c r="G19" s="518">
        <f t="shared" si="15"/>
        <v>59334.57</v>
      </c>
      <c r="H19" s="31" t="s">
        <v>40</v>
      </c>
      <c r="I19" s="523">
        <v>17</v>
      </c>
      <c r="J19" s="29">
        <v>2000</v>
      </c>
      <c r="K19" s="12">
        <f t="shared" si="1"/>
        <v>117.64705882352941</v>
      </c>
      <c r="L19" s="523">
        <v>17</v>
      </c>
      <c r="M19" s="13">
        <f t="shared" si="16"/>
        <v>1951.6666666666649</v>
      </c>
      <c r="N19" s="12">
        <f t="shared" si="3"/>
        <v>114.80392156862735</v>
      </c>
      <c r="O19" s="14">
        <f t="shared" si="4"/>
        <v>0</v>
      </c>
      <c r="P19" s="15">
        <f t="shared" si="5"/>
        <v>-2.8431372549020608</v>
      </c>
      <c r="Q19" s="519">
        <f t="shared" si="6"/>
        <v>0.97583333333333244</v>
      </c>
      <c r="R19" s="616"/>
      <c r="S19" s="32">
        <v>0.70833333333333337</v>
      </c>
      <c r="T19" s="32">
        <v>0.73333333333333339</v>
      </c>
      <c r="U19" s="518" t="str">
        <f t="shared" si="18"/>
        <v/>
      </c>
      <c r="V19" s="524">
        <f t="shared" si="17"/>
        <v>36.000000000000028</v>
      </c>
      <c r="W19" s="16"/>
      <c r="X19" s="16"/>
      <c r="Y19" s="16"/>
      <c r="Z19" s="16"/>
      <c r="AA19" s="612"/>
      <c r="AB19" s="612"/>
      <c r="AC19" s="136"/>
      <c r="AD19" s="18"/>
      <c r="AE19" s="14">
        <f t="shared" si="8"/>
        <v>-48.333333333335077</v>
      </c>
      <c r="AF19" s="519">
        <f t="shared" si="9"/>
        <v>0.97583333333333244</v>
      </c>
      <c r="AG19" s="616"/>
    </row>
    <row r="20" spans="1:33" ht="16.5" customHeight="1">
      <c r="A20" s="637" t="s">
        <v>178</v>
      </c>
      <c r="B20" s="525" t="s">
        <v>5</v>
      </c>
      <c r="C20" s="521" t="s">
        <v>615</v>
      </c>
      <c r="D20" s="522"/>
      <c r="E20" s="27">
        <v>54.5</v>
      </c>
      <c r="F20" s="525">
        <v>1527</v>
      </c>
      <c r="G20" s="518">
        <f t="shared" si="15"/>
        <v>83221.5</v>
      </c>
      <c r="H20" s="31" t="s">
        <v>40</v>
      </c>
      <c r="I20" s="523">
        <v>20</v>
      </c>
      <c r="J20" s="29">
        <v>1500</v>
      </c>
      <c r="K20" s="12">
        <f t="shared" si="1"/>
        <v>75</v>
      </c>
      <c r="L20" s="523">
        <v>20</v>
      </c>
      <c r="M20" s="13">
        <f t="shared" si="16"/>
        <v>1431.5625000000016</v>
      </c>
      <c r="N20" s="12">
        <f t="shared" si="3"/>
        <v>71.578125000000085</v>
      </c>
      <c r="O20" s="14">
        <f t="shared" si="4"/>
        <v>0</v>
      </c>
      <c r="P20" s="15">
        <f t="shared" si="5"/>
        <v>-3.4218749999999147</v>
      </c>
      <c r="Q20" s="519">
        <f t="shared" si="6"/>
        <v>0.95437500000000108</v>
      </c>
      <c r="R20" s="616"/>
      <c r="S20" s="32">
        <v>0.73819444444444449</v>
      </c>
      <c r="T20" s="32">
        <v>0.78263888888888888</v>
      </c>
      <c r="U20" s="518">
        <f t="shared" si="18"/>
        <v>6.9999999999999751</v>
      </c>
      <c r="V20" s="524">
        <f t="shared" si="17"/>
        <v>63.999999999999929</v>
      </c>
      <c r="W20" s="16"/>
      <c r="X20" s="16"/>
      <c r="Y20" s="19"/>
      <c r="Z20" s="19"/>
      <c r="AA20" s="514"/>
      <c r="AB20" s="515"/>
      <c r="AC20" s="136"/>
      <c r="AD20" s="18"/>
      <c r="AE20" s="14">
        <f t="shared" si="8"/>
        <v>-68.437499999998408</v>
      </c>
      <c r="AF20" s="519">
        <f t="shared" si="9"/>
        <v>0.95437500000000108</v>
      </c>
      <c r="AG20" s="616"/>
    </row>
    <row r="21" spans="1:33" ht="16.5" customHeight="1">
      <c r="A21" s="637" t="s">
        <v>178</v>
      </c>
      <c r="B21" s="525" t="s">
        <v>5</v>
      </c>
      <c r="C21" s="521" t="s">
        <v>18</v>
      </c>
      <c r="D21" s="522"/>
      <c r="E21" s="27">
        <v>50.49</v>
      </c>
      <c r="F21" s="525">
        <v>1440</v>
      </c>
      <c r="G21" s="518">
        <f t="shared" si="15"/>
        <v>72705.600000000006</v>
      </c>
      <c r="H21" s="31" t="s">
        <v>40</v>
      </c>
      <c r="I21" s="523">
        <v>15</v>
      </c>
      <c r="J21" s="29">
        <v>2000</v>
      </c>
      <c r="K21" s="12">
        <f t="shared" si="1"/>
        <v>133.33333333333334</v>
      </c>
      <c r="L21" s="523">
        <v>15</v>
      </c>
      <c r="M21" s="13">
        <f t="shared" si="16"/>
        <v>1920</v>
      </c>
      <c r="N21" s="12">
        <f t="shared" si="3"/>
        <v>128</v>
      </c>
      <c r="O21" s="14">
        <f t="shared" si="4"/>
        <v>0</v>
      </c>
      <c r="P21" s="15">
        <f t="shared" si="5"/>
        <v>-5.3333333333333428</v>
      </c>
      <c r="Q21" s="519">
        <f t="shared" si="6"/>
        <v>0.96</v>
      </c>
      <c r="R21" s="616"/>
      <c r="S21" s="32">
        <v>0.78611111111111109</v>
      </c>
      <c r="T21" s="32">
        <v>0.81736111111111109</v>
      </c>
      <c r="U21" s="518">
        <f t="shared" si="18"/>
        <v>4.9999999999999822</v>
      </c>
      <c r="V21" s="524">
        <f t="shared" si="17"/>
        <v>45</v>
      </c>
      <c r="W21" s="16"/>
      <c r="X21" s="16"/>
      <c r="Y21" s="19"/>
      <c r="Z21" s="19"/>
      <c r="AA21" s="514"/>
      <c r="AB21" s="515"/>
      <c r="AC21" s="136"/>
      <c r="AD21" s="18"/>
      <c r="AE21" s="14">
        <f t="shared" si="8"/>
        <v>-80</v>
      </c>
      <c r="AF21" s="519">
        <f t="shared" si="9"/>
        <v>0.96</v>
      </c>
      <c r="AG21" s="616"/>
    </row>
    <row r="22" spans="1:33" ht="16.5" customHeight="1">
      <c r="A22" s="637" t="s">
        <v>178</v>
      </c>
      <c r="B22" s="27" t="s">
        <v>174</v>
      </c>
      <c r="C22" s="609"/>
      <c r="D22" s="610"/>
      <c r="E22" s="520"/>
      <c r="F22" s="28"/>
      <c r="G22" s="12"/>
      <c r="H22" s="525"/>
      <c r="I22" s="21">
        <v>18.428571428571427</v>
      </c>
      <c r="J22" s="29">
        <v>1714.2857142857142</v>
      </c>
      <c r="K22" s="12">
        <f t="shared" si="1"/>
        <v>93.023255813953497</v>
      </c>
      <c r="L22" s="21">
        <v>18.428571428571427</v>
      </c>
      <c r="M22" s="13">
        <f>AVERAGE(M15:M21)</f>
        <v>1648.7334949347703</v>
      </c>
      <c r="N22" s="12">
        <f t="shared" si="3"/>
        <v>89.466158639871267</v>
      </c>
      <c r="O22" s="14">
        <f t="shared" si="4"/>
        <v>0</v>
      </c>
      <c r="P22" s="15">
        <f t="shared" si="5"/>
        <v>-3.5570971740822301</v>
      </c>
      <c r="Q22" s="519">
        <f t="shared" si="6"/>
        <v>0.96176120537861598</v>
      </c>
      <c r="R22" s="616"/>
      <c r="S22" s="32"/>
      <c r="T22" s="32"/>
      <c r="U22" s="518"/>
      <c r="V22" s="524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-65.552219350943915</v>
      </c>
      <c r="AF22" s="519">
        <f t="shared" si="9"/>
        <v>0.96176120537861609</v>
      </c>
      <c r="AG22" s="616"/>
    </row>
    <row r="23" spans="1:33" ht="15.75" customHeight="1">
      <c r="A23" s="634" t="s">
        <v>179</v>
      </c>
      <c r="B23" s="27" t="s">
        <v>5</v>
      </c>
      <c r="C23" s="631" t="s">
        <v>16</v>
      </c>
      <c r="D23" s="632"/>
      <c r="E23" s="27">
        <v>50.67</v>
      </c>
      <c r="F23" s="525">
        <v>1710</v>
      </c>
      <c r="G23" s="518">
        <f t="shared" ref="G23:G28" si="19">E23*F23</f>
        <v>86645.7</v>
      </c>
      <c r="H23" s="31" t="s">
        <v>40</v>
      </c>
      <c r="I23" s="523">
        <v>17</v>
      </c>
      <c r="J23" s="29">
        <v>2000</v>
      </c>
      <c r="K23" s="12">
        <f t="shared" si="1"/>
        <v>117.64705882352941</v>
      </c>
      <c r="L23" s="523">
        <v>17</v>
      </c>
      <c r="M23" s="13">
        <f t="shared" ref="M23:M28" si="20">F23/V23*60</f>
        <v>1935.8490566037731</v>
      </c>
      <c r="N23" s="12">
        <f t="shared" si="3"/>
        <v>113.87347391786901</v>
      </c>
      <c r="O23" s="14">
        <f t="shared" si="4"/>
        <v>0</v>
      </c>
      <c r="P23" s="15">
        <f t="shared" si="5"/>
        <v>-3.7735849056603996</v>
      </c>
      <c r="Q23" s="519">
        <f t="shared" si="6"/>
        <v>0.96792452830188658</v>
      </c>
      <c r="R23" s="616">
        <f>Q29</f>
        <v>0.96619224885922317</v>
      </c>
      <c r="S23" s="32">
        <v>0.20833333333333334</v>
      </c>
      <c r="T23" s="32">
        <v>0.24513888888888891</v>
      </c>
      <c r="U23" s="518"/>
      <c r="V23" s="524">
        <f t="shared" ref="V23:V28" si="21">(T23-S23)*24*60</f>
        <v>53.000000000000014</v>
      </c>
      <c r="W23" s="16"/>
      <c r="X23" s="16"/>
      <c r="Y23" s="20"/>
      <c r="Z23" s="20"/>
      <c r="AA23" s="612"/>
      <c r="AB23" s="612"/>
      <c r="AC23" s="136">
        <v>6</v>
      </c>
      <c r="AD23" s="18"/>
      <c r="AE23" s="14">
        <f t="shared" si="8"/>
        <v>-64.150943396226921</v>
      </c>
      <c r="AF23" s="519">
        <f t="shared" si="9"/>
        <v>0.96792452830188658</v>
      </c>
      <c r="AG23" s="616">
        <f>AF29</f>
        <v>0.96619224885922328</v>
      </c>
    </row>
    <row r="24" spans="1:33" ht="15.75" customHeight="1">
      <c r="A24" s="635" t="s">
        <v>179</v>
      </c>
      <c r="B24" s="27" t="s">
        <v>5</v>
      </c>
      <c r="C24" s="631" t="s">
        <v>17</v>
      </c>
      <c r="D24" s="632"/>
      <c r="E24" s="27">
        <v>57.73</v>
      </c>
      <c r="F24" s="525">
        <v>2047</v>
      </c>
      <c r="G24" s="518">
        <f t="shared" si="19"/>
        <v>118173.31</v>
      </c>
      <c r="H24" s="31" t="s">
        <v>40</v>
      </c>
      <c r="I24" s="523">
        <v>14</v>
      </c>
      <c r="J24" s="29">
        <v>2000</v>
      </c>
      <c r="K24" s="12">
        <f t="shared" si="1"/>
        <v>142.85714285714286</v>
      </c>
      <c r="L24" s="523">
        <v>14</v>
      </c>
      <c r="M24" s="13">
        <f t="shared" si="20"/>
        <v>1919.0624999999995</v>
      </c>
      <c r="N24" s="12">
        <f t="shared" si="3"/>
        <v>137.07589285714283</v>
      </c>
      <c r="O24" s="14">
        <f t="shared" si="4"/>
        <v>0</v>
      </c>
      <c r="P24" s="15">
        <f t="shared" si="5"/>
        <v>-5.7812500000000284</v>
      </c>
      <c r="Q24" s="519">
        <f t="shared" si="6"/>
        <v>0.95953124999999984</v>
      </c>
      <c r="R24" s="616"/>
      <c r="S24" s="32">
        <v>0.25</v>
      </c>
      <c r="T24" s="32">
        <v>0.29444444444444445</v>
      </c>
      <c r="U24" s="518">
        <f t="shared" ref="U24:U28" si="22">IF(S24=TIME(17,0,0),"",(S24-T23)*24*60)</f>
        <v>6.9999999999999751</v>
      </c>
      <c r="V24" s="524">
        <f t="shared" si="21"/>
        <v>64.000000000000014</v>
      </c>
      <c r="W24" s="16"/>
      <c r="X24" s="518"/>
      <c r="Y24" s="518"/>
      <c r="Z24" s="518"/>
      <c r="AA24" s="612"/>
      <c r="AB24" s="612"/>
      <c r="AC24" s="136"/>
      <c r="AD24" s="18"/>
      <c r="AE24" s="14">
        <f t="shared" si="8"/>
        <v>-80.937500000000455</v>
      </c>
      <c r="AF24" s="519">
        <f t="shared" si="9"/>
        <v>0.95953124999999972</v>
      </c>
      <c r="AG24" s="616"/>
    </row>
    <row r="25" spans="1:33" ht="15.75" customHeight="1">
      <c r="A25" s="635" t="s">
        <v>179</v>
      </c>
      <c r="B25" s="27" t="s">
        <v>5</v>
      </c>
      <c r="C25" s="631" t="s">
        <v>60</v>
      </c>
      <c r="D25" s="632"/>
      <c r="E25" s="27">
        <v>53.27</v>
      </c>
      <c r="F25" s="525">
        <v>1427</v>
      </c>
      <c r="G25" s="518">
        <f t="shared" si="19"/>
        <v>76016.290000000008</v>
      </c>
      <c r="H25" s="31" t="s">
        <v>40</v>
      </c>
      <c r="I25" s="523">
        <v>16</v>
      </c>
      <c r="J25" s="29">
        <v>2000</v>
      </c>
      <c r="K25" s="12">
        <f t="shared" si="1"/>
        <v>125</v>
      </c>
      <c r="L25" s="523">
        <v>16</v>
      </c>
      <c r="M25" s="13">
        <f t="shared" si="20"/>
        <v>1945.9090909090908</v>
      </c>
      <c r="N25" s="12">
        <f t="shared" si="3"/>
        <v>121.61931818181817</v>
      </c>
      <c r="O25" s="14">
        <f t="shared" si="4"/>
        <v>0</v>
      </c>
      <c r="P25" s="15">
        <f t="shared" si="5"/>
        <v>-3.3806818181818272</v>
      </c>
      <c r="Q25" s="519">
        <f t="shared" si="6"/>
        <v>0.97295454545454541</v>
      </c>
      <c r="R25" s="616"/>
      <c r="S25" s="32">
        <v>0.3</v>
      </c>
      <c r="T25" s="32">
        <v>0.33055555555555555</v>
      </c>
      <c r="U25" s="518">
        <f t="shared" si="22"/>
        <v>7.9999999999999716</v>
      </c>
      <c r="V25" s="524">
        <f t="shared" si="21"/>
        <v>44</v>
      </c>
      <c r="W25" s="16"/>
      <c r="X25" s="518"/>
      <c r="Y25" s="518"/>
      <c r="Z25" s="518"/>
      <c r="AA25" s="612"/>
      <c r="AB25" s="612"/>
      <c r="AC25" s="136"/>
      <c r="AD25" s="18"/>
      <c r="AE25" s="14">
        <f t="shared" si="8"/>
        <v>-54.090909090909236</v>
      </c>
      <c r="AF25" s="519">
        <f t="shared" si="9"/>
        <v>0.97295454545454541</v>
      </c>
      <c r="AG25" s="616"/>
    </row>
    <row r="26" spans="1:33" ht="15.75" customHeight="1">
      <c r="A26" s="635" t="s">
        <v>179</v>
      </c>
      <c r="B26" s="27" t="s">
        <v>5</v>
      </c>
      <c r="C26" s="631" t="s">
        <v>65</v>
      </c>
      <c r="D26" s="632"/>
      <c r="E26" s="27">
        <v>56.43</v>
      </c>
      <c r="F26" s="525">
        <v>1165</v>
      </c>
      <c r="G26" s="518">
        <f t="shared" si="19"/>
        <v>65740.95</v>
      </c>
      <c r="H26" s="31" t="s">
        <v>40</v>
      </c>
      <c r="I26" s="523">
        <v>13</v>
      </c>
      <c r="J26" s="29">
        <v>2000</v>
      </c>
      <c r="K26" s="12">
        <f t="shared" si="1"/>
        <v>153.84615384615384</v>
      </c>
      <c r="L26" s="523">
        <v>13</v>
      </c>
      <c r="M26" s="13">
        <f t="shared" si="20"/>
        <v>1941.6666666666652</v>
      </c>
      <c r="N26" s="12">
        <f t="shared" si="3"/>
        <v>149.35897435897425</v>
      </c>
      <c r="O26" s="14">
        <f t="shared" si="4"/>
        <v>0</v>
      </c>
      <c r="P26" s="15">
        <f t="shared" si="5"/>
        <v>-4.4871794871795885</v>
      </c>
      <c r="Q26" s="519">
        <f t="shared" si="6"/>
        <v>0.97083333333333266</v>
      </c>
      <c r="R26" s="616"/>
      <c r="S26" s="32">
        <v>0.70833333333333337</v>
      </c>
      <c r="T26" s="32">
        <v>0.73333333333333339</v>
      </c>
      <c r="U26" s="518" t="str">
        <f t="shared" si="22"/>
        <v/>
      </c>
      <c r="V26" s="524">
        <f t="shared" si="21"/>
        <v>36.000000000000028</v>
      </c>
      <c r="W26" s="16"/>
      <c r="X26" s="518"/>
      <c r="Y26" s="518"/>
      <c r="Z26" s="518"/>
      <c r="AA26" s="612"/>
      <c r="AB26" s="612"/>
      <c r="AC26" s="136"/>
      <c r="AD26" s="18"/>
      <c r="AE26" s="14">
        <f t="shared" si="8"/>
        <v>-58.333333333334849</v>
      </c>
      <c r="AF26" s="519">
        <f t="shared" si="9"/>
        <v>0.97083333333333255</v>
      </c>
      <c r="AG26" s="616"/>
    </row>
    <row r="27" spans="1:33" ht="15.75" customHeight="1">
      <c r="A27" s="635" t="s">
        <v>179</v>
      </c>
      <c r="B27" s="27" t="s">
        <v>5</v>
      </c>
      <c r="C27" s="631" t="s">
        <v>1322</v>
      </c>
      <c r="D27" s="632"/>
      <c r="E27" s="27">
        <v>54.09</v>
      </c>
      <c r="F27" s="525">
        <v>1921</v>
      </c>
      <c r="G27" s="518">
        <f t="shared" si="19"/>
        <v>103906.89</v>
      </c>
      <c r="H27" s="31" t="s">
        <v>40</v>
      </c>
      <c r="I27" s="523">
        <v>18</v>
      </c>
      <c r="J27" s="29">
        <v>2000</v>
      </c>
      <c r="K27" s="12">
        <f t="shared" si="1"/>
        <v>111.11111111111111</v>
      </c>
      <c r="L27" s="523">
        <v>18</v>
      </c>
      <c r="M27" s="13">
        <f t="shared" si="20"/>
        <v>1921.0000000000016</v>
      </c>
      <c r="N27" s="12">
        <f t="shared" si="3"/>
        <v>106.72222222222231</v>
      </c>
      <c r="O27" s="14">
        <f t="shared" si="4"/>
        <v>0</v>
      </c>
      <c r="P27" s="15">
        <f t="shared" si="5"/>
        <v>-4.3888888888888005</v>
      </c>
      <c r="Q27" s="519">
        <f t="shared" si="6"/>
        <v>0.9605000000000008</v>
      </c>
      <c r="R27" s="616"/>
      <c r="S27" s="32">
        <v>0.73888888888888893</v>
      </c>
      <c r="T27" s="32">
        <v>0.78055555555555556</v>
      </c>
      <c r="U27" s="518">
        <f t="shared" si="22"/>
        <v>7.9999999999999716</v>
      </c>
      <c r="V27" s="524">
        <f t="shared" si="21"/>
        <v>59.999999999999943</v>
      </c>
      <c r="W27" s="16"/>
      <c r="X27" s="16"/>
      <c r="Y27" s="518"/>
      <c r="Z27" s="518"/>
      <c r="AA27" s="612"/>
      <c r="AB27" s="612"/>
      <c r="AC27" s="136"/>
      <c r="AD27" s="18"/>
      <c r="AE27" s="14">
        <f t="shared" si="8"/>
        <v>-78.999999999998408</v>
      </c>
      <c r="AF27" s="519">
        <f t="shared" si="9"/>
        <v>0.9605000000000008</v>
      </c>
      <c r="AG27" s="616"/>
    </row>
    <row r="28" spans="1:33" ht="15.75" customHeight="1">
      <c r="A28" s="635" t="s">
        <v>179</v>
      </c>
      <c r="B28" s="27" t="s">
        <v>5</v>
      </c>
      <c r="C28" s="631" t="s">
        <v>1930</v>
      </c>
      <c r="D28" s="632"/>
      <c r="E28" s="27">
        <v>57.3</v>
      </c>
      <c r="F28" s="525">
        <v>1963</v>
      </c>
      <c r="G28" s="518">
        <f t="shared" si="19"/>
        <v>112479.9</v>
      </c>
      <c r="H28" s="31" t="s">
        <v>40</v>
      </c>
      <c r="I28" s="523">
        <v>16</v>
      </c>
      <c r="J28" s="29">
        <v>2000</v>
      </c>
      <c r="K28" s="12">
        <f t="shared" si="1"/>
        <v>125</v>
      </c>
      <c r="L28" s="523">
        <v>16</v>
      </c>
      <c r="M28" s="13">
        <f t="shared" si="20"/>
        <v>1930.8196721311492</v>
      </c>
      <c r="N28" s="12">
        <f t="shared" si="3"/>
        <v>120.67622950819683</v>
      </c>
      <c r="O28" s="14">
        <f t="shared" si="4"/>
        <v>0</v>
      </c>
      <c r="P28" s="15">
        <f t="shared" si="5"/>
        <v>-4.3237704918031739</v>
      </c>
      <c r="Q28" s="519">
        <f t="shared" si="6"/>
        <v>0.96540983606557462</v>
      </c>
      <c r="R28" s="616"/>
      <c r="S28" s="32">
        <v>0.78402777777777777</v>
      </c>
      <c r="T28" s="32">
        <v>0.82638888888888884</v>
      </c>
      <c r="U28" s="518">
        <f t="shared" si="22"/>
        <v>4.9999999999999822</v>
      </c>
      <c r="V28" s="524">
        <f t="shared" si="21"/>
        <v>60.999999999999943</v>
      </c>
      <c r="W28" s="16"/>
      <c r="X28" s="20"/>
      <c r="Y28" s="20"/>
      <c r="Z28" s="20"/>
      <c r="AA28" s="612"/>
      <c r="AB28" s="612"/>
      <c r="AC28" s="136"/>
      <c r="AD28" s="18"/>
      <c r="AE28" s="14">
        <f t="shared" si="8"/>
        <v>-69.180327868850782</v>
      </c>
      <c r="AF28" s="519">
        <f t="shared" si="9"/>
        <v>0.96540983606557462</v>
      </c>
      <c r="AG28" s="616"/>
    </row>
    <row r="29" spans="1:33" ht="15.75" customHeight="1">
      <c r="A29" s="635" t="s">
        <v>179</v>
      </c>
      <c r="B29" s="27" t="s">
        <v>174</v>
      </c>
      <c r="C29" s="609"/>
      <c r="D29" s="610"/>
      <c r="E29" s="520"/>
      <c r="F29" s="525"/>
      <c r="G29" s="518"/>
      <c r="H29" s="525"/>
      <c r="I29" s="21">
        <v>15.666666666666666</v>
      </c>
      <c r="J29" s="29">
        <v>2000</v>
      </c>
      <c r="K29" s="12">
        <f t="shared" si="1"/>
        <v>127.65957446808511</v>
      </c>
      <c r="L29" s="21">
        <v>15.666666666666666</v>
      </c>
      <c r="M29" s="13">
        <f>AVERAGE(M23:M28)</f>
        <v>1932.3844977184465</v>
      </c>
      <c r="N29" s="12">
        <f t="shared" si="3"/>
        <v>123.34369134373063</v>
      </c>
      <c r="O29" s="14">
        <f t="shared" si="4"/>
        <v>0</v>
      </c>
      <c r="P29" s="15">
        <f t="shared" si="5"/>
        <v>-4.3158831243544853</v>
      </c>
      <c r="Q29" s="519">
        <f t="shared" si="6"/>
        <v>0.96619224885922317</v>
      </c>
      <c r="R29" s="616"/>
      <c r="S29" s="32"/>
      <c r="T29" s="32"/>
      <c r="U29" s="12"/>
      <c r="V29" s="524"/>
      <c r="W29" s="12"/>
      <c r="X29" s="12"/>
      <c r="Y29" s="22">
        <f>SUM(Y23:Y28)</f>
        <v>0</v>
      </c>
      <c r="Z29" s="22">
        <f>SUM(Z23:Z28)</f>
        <v>0</v>
      </c>
      <c r="AA29" s="611"/>
      <c r="AB29" s="611"/>
      <c r="AC29" s="22">
        <v>6</v>
      </c>
      <c r="AD29" s="22">
        <f>SUM(AD23:AD28)</f>
        <v>0</v>
      </c>
      <c r="AE29" s="14">
        <f t="shared" si="8"/>
        <v>-67.615502281553518</v>
      </c>
      <c r="AF29" s="519">
        <f t="shared" si="9"/>
        <v>0.96619224885922328</v>
      </c>
      <c r="AG29" s="616"/>
    </row>
    <row r="30" spans="1:33" ht="15.75" customHeight="1">
      <c r="A30" s="633" t="s">
        <v>180</v>
      </c>
      <c r="B30" s="27" t="s">
        <v>20</v>
      </c>
      <c r="C30" s="631" t="s">
        <v>21</v>
      </c>
      <c r="D30" s="632"/>
      <c r="E30" s="27">
        <v>31.29</v>
      </c>
      <c r="F30" s="525">
        <v>4700</v>
      </c>
      <c r="G30" s="518">
        <f t="shared" ref="G30:G38" si="23">E30*F30</f>
        <v>147063</v>
      </c>
      <c r="H30" s="31">
        <v>2</v>
      </c>
      <c r="I30" s="523">
        <v>18</v>
      </c>
      <c r="J30" s="29">
        <v>2400</v>
      </c>
      <c r="K30" s="12">
        <f t="shared" si="1"/>
        <v>133.33333333333334</v>
      </c>
      <c r="L30" s="523">
        <v>18</v>
      </c>
      <c r="M30" s="13">
        <f t="shared" ref="M30:M38" si="24">F30/V30*60</f>
        <v>2292.6829268292686</v>
      </c>
      <c r="N30" s="12">
        <f t="shared" si="3"/>
        <v>127.37127371273715</v>
      </c>
      <c r="O30" s="14">
        <f t="shared" si="4"/>
        <v>0</v>
      </c>
      <c r="P30" s="15">
        <f t="shared" si="5"/>
        <v>-5.9620596205961931</v>
      </c>
      <c r="Q30" s="519">
        <f t="shared" si="6"/>
        <v>0.9552845528455286</v>
      </c>
      <c r="R30" s="616">
        <f>Q39</f>
        <v>0.96031848965642219</v>
      </c>
      <c r="S30" s="32">
        <v>8.3333333333333329E-2</v>
      </c>
      <c r="T30" s="32">
        <v>0.16874999999999998</v>
      </c>
      <c r="U30" s="518"/>
      <c r="V30" s="524">
        <f t="shared" ref="V30:V38" si="25">(T30-S30)*24*60</f>
        <v>122.99999999999999</v>
      </c>
      <c r="W30" s="16">
        <f>T30</f>
        <v>0.16874999999999998</v>
      </c>
      <c r="X30" s="16">
        <f>S31</f>
        <v>0.18819444444444444</v>
      </c>
      <c r="Y30" s="16"/>
      <c r="Z30" s="16"/>
      <c r="AA30" s="612"/>
      <c r="AB30" s="612"/>
      <c r="AC30" s="136">
        <v>9</v>
      </c>
      <c r="AD30" s="18"/>
      <c r="AE30" s="14">
        <f t="shared" si="8"/>
        <v>-107.31707317073142</v>
      </c>
      <c r="AF30" s="519">
        <f t="shared" si="9"/>
        <v>0.9552845528455286</v>
      </c>
      <c r="AG30" s="616">
        <f>AF39</f>
        <v>0.9603184896564223</v>
      </c>
    </row>
    <row r="31" spans="1:33" ht="15.75" customHeight="1">
      <c r="A31" s="633" t="s">
        <v>180</v>
      </c>
      <c r="B31" s="27" t="s">
        <v>20</v>
      </c>
      <c r="C31" s="631" t="s">
        <v>22</v>
      </c>
      <c r="D31" s="632"/>
      <c r="E31" s="27">
        <v>26.37</v>
      </c>
      <c r="F31" s="525">
        <v>3500</v>
      </c>
      <c r="G31" s="518">
        <f t="shared" si="23"/>
        <v>92295</v>
      </c>
      <c r="H31" s="31">
        <v>2</v>
      </c>
      <c r="I31" s="523">
        <v>18</v>
      </c>
      <c r="J31" s="29">
        <v>2400</v>
      </c>
      <c r="K31" s="12">
        <f t="shared" si="1"/>
        <v>133.33333333333334</v>
      </c>
      <c r="L31" s="523">
        <v>18</v>
      </c>
      <c r="M31" s="13">
        <f t="shared" si="24"/>
        <v>2307.6923076923076</v>
      </c>
      <c r="N31" s="12">
        <f t="shared" si="3"/>
        <v>128.2051282051282</v>
      </c>
      <c r="O31" s="14">
        <f t="shared" si="4"/>
        <v>0</v>
      </c>
      <c r="P31" s="15">
        <f t="shared" si="5"/>
        <v>-5.1282051282051384</v>
      </c>
      <c r="Q31" s="519">
        <f t="shared" si="6"/>
        <v>0.96153846153846145</v>
      </c>
      <c r="R31" s="616"/>
      <c r="S31" s="32">
        <v>0.18819444444444444</v>
      </c>
      <c r="T31" s="32">
        <v>0.25138888888888888</v>
      </c>
      <c r="U31" s="518">
        <f t="shared" ref="U31:U38" si="26">(S31-T30)*24*60</f>
        <v>28.000000000000021</v>
      </c>
      <c r="V31" s="524">
        <f t="shared" si="25"/>
        <v>91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-92.307692307692378</v>
      </c>
      <c r="AF31" s="519">
        <f t="shared" si="9"/>
        <v>0.96153846153846156</v>
      </c>
      <c r="AG31" s="616"/>
    </row>
    <row r="32" spans="1:33" ht="15.75" customHeight="1">
      <c r="A32" s="633" t="s">
        <v>180</v>
      </c>
      <c r="B32" s="27" t="s">
        <v>20</v>
      </c>
      <c r="C32" s="631" t="s">
        <v>57</v>
      </c>
      <c r="D32" s="632"/>
      <c r="E32" s="27">
        <v>26.18</v>
      </c>
      <c r="F32" s="525">
        <v>4200</v>
      </c>
      <c r="G32" s="518">
        <f t="shared" si="23"/>
        <v>109956</v>
      </c>
      <c r="H32" s="31">
        <v>2</v>
      </c>
      <c r="I32" s="523">
        <v>18</v>
      </c>
      <c r="J32" s="29">
        <v>2400</v>
      </c>
      <c r="K32" s="12">
        <f t="shared" si="1"/>
        <v>133.33333333333334</v>
      </c>
      <c r="L32" s="523">
        <v>18</v>
      </c>
      <c r="M32" s="13">
        <f t="shared" si="24"/>
        <v>2290.909090909091</v>
      </c>
      <c r="N32" s="12">
        <f t="shared" si="3"/>
        <v>127.27272727272728</v>
      </c>
      <c r="O32" s="14">
        <f t="shared" si="4"/>
        <v>0</v>
      </c>
      <c r="P32" s="15">
        <f t="shared" si="5"/>
        <v>-6.0606060606060623</v>
      </c>
      <c r="Q32" s="519">
        <f t="shared" si="6"/>
        <v>0.95454545454545459</v>
      </c>
      <c r="R32" s="616"/>
      <c r="S32" s="32">
        <v>0.25624999999999998</v>
      </c>
      <c r="T32" s="32">
        <v>0.33263888888888887</v>
      </c>
      <c r="U32" s="518">
        <f t="shared" si="26"/>
        <v>6.9999999999999751</v>
      </c>
      <c r="V32" s="524">
        <f t="shared" si="25"/>
        <v>110.00000000000001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-109.09090909090901</v>
      </c>
      <c r="AF32" s="519">
        <f t="shared" si="9"/>
        <v>0.95454545454545459</v>
      </c>
      <c r="AG32" s="616"/>
    </row>
    <row r="33" spans="1:33" ht="15.75" customHeight="1">
      <c r="A33" s="633" t="s">
        <v>180</v>
      </c>
      <c r="B33" s="27" t="s">
        <v>20</v>
      </c>
      <c r="C33" s="631" t="s">
        <v>59</v>
      </c>
      <c r="D33" s="632"/>
      <c r="E33" s="27">
        <v>25.99</v>
      </c>
      <c r="F33" s="525">
        <v>1212</v>
      </c>
      <c r="G33" s="518">
        <f t="shared" si="23"/>
        <v>31499.879999999997</v>
      </c>
      <c r="H33" s="31" t="s">
        <v>40</v>
      </c>
      <c r="I33" s="523">
        <v>18</v>
      </c>
      <c r="J33" s="29">
        <v>2400</v>
      </c>
      <c r="K33" s="12">
        <f t="shared" si="1"/>
        <v>133.33333333333334</v>
      </c>
      <c r="L33" s="523">
        <v>18</v>
      </c>
      <c r="M33" s="13">
        <f t="shared" si="24"/>
        <v>2345.8064516129052</v>
      </c>
      <c r="N33" s="12">
        <f t="shared" si="3"/>
        <v>130.32258064516139</v>
      </c>
      <c r="O33" s="14">
        <f t="shared" si="4"/>
        <v>0</v>
      </c>
      <c r="P33" s="15">
        <f t="shared" si="5"/>
        <v>-3.010752688171948</v>
      </c>
      <c r="Q33" s="519">
        <f t="shared" si="6"/>
        <v>0.97741935483871034</v>
      </c>
      <c r="R33" s="616"/>
      <c r="S33" s="32">
        <v>0.33680555555555552</v>
      </c>
      <c r="T33" s="32">
        <v>0.35833333333333328</v>
      </c>
      <c r="U33" s="518">
        <f t="shared" si="26"/>
        <v>5.9999999999999787</v>
      </c>
      <c r="V33" s="524">
        <f t="shared" si="25"/>
        <v>30.999999999999972</v>
      </c>
      <c r="W33" s="16"/>
      <c r="X33" s="16"/>
      <c r="Y33" s="16"/>
      <c r="Z33" s="16"/>
      <c r="AA33" s="612"/>
      <c r="AB33" s="612"/>
      <c r="AC33" s="136"/>
      <c r="AD33" s="18"/>
      <c r="AE33" s="14">
        <f t="shared" si="8"/>
        <v>-54.193548387094779</v>
      </c>
      <c r="AF33" s="519">
        <f t="shared" si="9"/>
        <v>0.97741935483871056</v>
      </c>
      <c r="AG33" s="616"/>
    </row>
    <row r="34" spans="1:33" ht="15.75" customHeight="1">
      <c r="A34" s="633" t="s">
        <v>180</v>
      </c>
      <c r="B34" s="27" t="s">
        <v>20</v>
      </c>
      <c r="C34" s="631" t="s">
        <v>23</v>
      </c>
      <c r="D34" s="632"/>
      <c r="E34" s="27">
        <v>25.99</v>
      </c>
      <c r="F34" s="525">
        <v>3638</v>
      </c>
      <c r="G34" s="518">
        <f t="shared" si="23"/>
        <v>94551.62</v>
      </c>
      <c r="H34" s="31" t="s">
        <v>40</v>
      </c>
      <c r="I34" s="523">
        <v>14</v>
      </c>
      <c r="J34" s="29">
        <v>2400</v>
      </c>
      <c r="K34" s="12">
        <f t="shared" si="1"/>
        <v>171.42857142857142</v>
      </c>
      <c r="L34" s="523">
        <v>14</v>
      </c>
      <c r="M34" s="13">
        <f t="shared" si="24"/>
        <v>2297.6842105263158</v>
      </c>
      <c r="N34" s="12">
        <f t="shared" si="3"/>
        <v>164.12030075187971</v>
      </c>
      <c r="O34" s="14">
        <f t="shared" si="4"/>
        <v>0</v>
      </c>
      <c r="P34" s="15">
        <f t="shared" si="5"/>
        <v>-7.3082706766917056</v>
      </c>
      <c r="Q34" s="519">
        <f t="shared" si="6"/>
        <v>0.95736842105263176</v>
      </c>
      <c r="R34" s="616"/>
      <c r="S34" s="32">
        <v>0.36388888888888882</v>
      </c>
      <c r="T34" s="32">
        <v>0.42986111111111103</v>
      </c>
      <c r="U34" s="518">
        <f t="shared" si="26"/>
        <v>7.9999999999999716</v>
      </c>
      <c r="V34" s="524">
        <f t="shared" si="25"/>
        <v>94.999999999999986</v>
      </c>
      <c r="W34" s="16"/>
      <c r="X34" s="16"/>
      <c r="Y34" s="16"/>
      <c r="Z34" s="16"/>
      <c r="AA34" s="612"/>
      <c r="AB34" s="612"/>
      <c r="AC34" s="136"/>
      <c r="AD34" s="18"/>
      <c r="AE34" s="14">
        <f t="shared" si="8"/>
        <v>-102.31578947368416</v>
      </c>
      <c r="AF34" s="519">
        <f t="shared" si="9"/>
        <v>0.95736842105263165</v>
      </c>
      <c r="AG34" s="616"/>
    </row>
    <row r="35" spans="1:33" ht="15.75" customHeight="1">
      <c r="A35" s="633" t="s">
        <v>180</v>
      </c>
      <c r="B35" s="27" t="s">
        <v>20</v>
      </c>
      <c r="C35" s="631" t="s">
        <v>64</v>
      </c>
      <c r="D35" s="632"/>
      <c r="E35" s="27">
        <v>20.21</v>
      </c>
      <c r="F35" s="525">
        <v>2358</v>
      </c>
      <c r="G35" s="518">
        <f t="shared" si="23"/>
        <v>47655.18</v>
      </c>
      <c r="H35" s="31" t="s">
        <v>40</v>
      </c>
      <c r="I35" s="523">
        <v>18</v>
      </c>
      <c r="J35" s="29">
        <v>2400</v>
      </c>
      <c r="K35" s="12">
        <f t="shared" si="1"/>
        <v>133.33333333333334</v>
      </c>
      <c r="L35" s="523">
        <v>18</v>
      </c>
      <c r="M35" s="13">
        <f t="shared" si="24"/>
        <v>2319.3442622950811</v>
      </c>
      <c r="N35" s="12">
        <f t="shared" si="3"/>
        <v>128.8524590163934</v>
      </c>
      <c r="O35" s="14">
        <f t="shared" si="4"/>
        <v>0</v>
      </c>
      <c r="P35" s="15">
        <f t="shared" si="5"/>
        <v>-4.4808743169399463</v>
      </c>
      <c r="Q35" s="519">
        <f t="shared" si="6"/>
        <v>0.96639344262295046</v>
      </c>
      <c r="R35" s="616"/>
      <c r="S35" s="32">
        <v>0.43333333333333324</v>
      </c>
      <c r="T35" s="32">
        <v>0.47569444444444436</v>
      </c>
      <c r="U35" s="518">
        <f t="shared" si="26"/>
        <v>4.9999999999999822</v>
      </c>
      <c r="V35" s="524">
        <f t="shared" si="25"/>
        <v>61.000000000000021</v>
      </c>
      <c r="W35" s="16">
        <f>T35</f>
        <v>0.47569444444444436</v>
      </c>
      <c r="X35" s="16">
        <f>S36</f>
        <v>0.51458333333333317</v>
      </c>
      <c r="Y35" s="16"/>
      <c r="Z35" s="16"/>
      <c r="AA35" s="612"/>
      <c r="AB35" s="612"/>
      <c r="AC35" s="136"/>
      <c r="AD35" s="18"/>
      <c r="AE35" s="14">
        <f t="shared" si="8"/>
        <v>-80.65573770491892</v>
      </c>
      <c r="AF35" s="519">
        <f t="shared" si="9"/>
        <v>0.96639344262295046</v>
      </c>
      <c r="AG35" s="616"/>
    </row>
    <row r="36" spans="1:33" ht="15.75" customHeight="1">
      <c r="A36" s="633" t="s">
        <v>180</v>
      </c>
      <c r="B36" s="27" t="s">
        <v>20</v>
      </c>
      <c r="C36" s="631" t="s">
        <v>21</v>
      </c>
      <c r="D36" s="632"/>
      <c r="E36" s="27">
        <v>31.29</v>
      </c>
      <c r="F36" s="525">
        <v>3339</v>
      </c>
      <c r="G36" s="518">
        <f t="shared" si="23"/>
        <v>104477.31</v>
      </c>
      <c r="H36" s="31" t="s">
        <v>40</v>
      </c>
      <c r="I36" s="523">
        <v>18</v>
      </c>
      <c r="J36" s="29">
        <v>2400</v>
      </c>
      <c r="K36" s="12">
        <f t="shared" si="1"/>
        <v>133.33333333333334</v>
      </c>
      <c r="L36" s="523">
        <v>18</v>
      </c>
      <c r="M36" s="13">
        <f t="shared" si="24"/>
        <v>2302.7586206896549</v>
      </c>
      <c r="N36" s="12">
        <f t="shared" si="3"/>
        <v>127.93103448275861</v>
      </c>
      <c r="O36" s="14">
        <f t="shared" si="4"/>
        <v>0</v>
      </c>
      <c r="P36" s="15">
        <f t="shared" si="5"/>
        <v>-5.4022988505747378</v>
      </c>
      <c r="Q36" s="519">
        <f t="shared" si="6"/>
        <v>0.95948275862068944</v>
      </c>
      <c r="R36" s="616"/>
      <c r="S36" s="32">
        <v>0.51458333333333317</v>
      </c>
      <c r="T36" s="32">
        <v>0.57499999999999984</v>
      </c>
      <c r="U36" s="518">
        <f t="shared" si="26"/>
        <v>55.999999999999879</v>
      </c>
      <c r="V36" s="524">
        <f t="shared" si="25"/>
        <v>87.000000000000014</v>
      </c>
      <c r="W36" s="16"/>
      <c r="X36" s="16"/>
      <c r="Y36" s="16"/>
      <c r="Z36" s="16"/>
      <c r="AA36" s="612"/>
      <c r="AB36" s="612"/>
      <c r="AC36" s="136"/>
      <c r="AD36" s="18"/>
      <c r="AE36" s="14">
        <f t="shared" si="8"/>
        <v>-97.24137931034511</v>
      </c>
      <c r="AF36" s="519">
        <f t="shared" si="9"/>
        <v>0.95948275862068955</v>
      </c>
      <c r="AG36" s="616"/>
    </row>
    <row r="37" spans="1:33" ht="15.75" customHeight="1">
      <c r="A37" s="633" t="s">
        <v>180</v>
      </c>
      <c r="B37" s="27" t="s">
        <v>20</v>
      </c>
      <c r="C37" s="521" t="s">
        <v>57</v>
      </c>
      <c r="D37" s="522"/>
      <c r="E37" s="27">
        <v>26.18</v>
      </c>
      <c r="F37" s="525">
        <v>3177</v>
      </c>
      <c r="G37" s="518">
        <f t="shared" si="23"/>
        <v>83173.86</v>
      </c>
      <c r="H37" s="31" t="s">
        <v>40</v>
      </c>
      <c r="I37" s="523">
        <v>18</v>
      </c>
      <c r="J37" s="29">
        <v>2400</v>
      </c>
      <c r="K37" s="12">
        <f t="shared" si="1"/>
        <v>133.33333333333334</v>
      </c>
      <c r="L37" s="523">
        <v>18</v>
      </c>
      <c r="M37" s="13">
        <f t="shared" si="24"/>
        <v>2296.6265060240953</v>
      </c>
      <c r="N37" s="12">
        <f t="shared" si="3"/>
        <v>127.59036144578307</v>
      </c>
      <c r="O37" s="14">
        <f t="shared" si="4"/>
        <v>0</v>
      </c>
      <c r="P37" s="15">
        <f t="shared" si="5"/>
        <v>-5.7429718875502687</v>
      </c>
      <c r="Q37" s="519">
        <f t="shared" si="6"/>
        <v>0.95692771084337303</v>
      </c>
      <c r="R37" s="616"/>
      <c r="S37" s="32">
        <v>0.57847222222222205</v>
      </c>
      <c r="T37" s="32">
        <v>0.63611111111111096</v>
      </c>
      <c r="U37" s="518">
        <f t="shared" si="26"/>
        <v>4.9999999999999822</v>
      </c>
      <c r="V37" s="524">
        <f t="shared" si="25"/>
        <v>83.000000000000028</v>
      </c>
      <c r="W37" s="16"/>
      <c r="X37" s="16"/>
      <c r="Y37" s="16"/>
      <c r="Z37" s="16"/>
      <c r="AA37" s="514"/>
      <c r="AB37" s="515"/>
      <c r="AC37" s="136"/>
      <c r="AD37" s="18"/>
      <c r="AE37" s="14">
        <f t="shared" si="8"/>
        <v>-103.37349397590469</v>
      </c>
      <c r="AF37" s="519">
        <f t="shared" si="9"/>
        <v>0.95692771084337303</v>
      </c>
      <c r="AG37" s="616"/>
    </row>
    <row r="38" spans="1:33" ht="15.75" customHeight="1">
      <c r="A38" s="633" t="s">
        <v>180</v>
      </c>
      <c r="B38" s="27" t="s">
        <v>20</v>
      </c>
      <c r="C38" s="631" t="s">
        <v>22</v>
      </c>
      <c r="D38" s="632"/>
      <c r="E38" s="27">
        <v>26.37</v>
      </c>
      <c r="F38" s="525">
        <v>2442</v>
      </c>
      <c r="G38" s="518">
        <f t="shared" si="23"/>
        <v>64395.54</v>
      </c>
      <c r="H38" s="31" t="s">
        <v>40</v>
      </c>
      <c r="I38" s="523">
        <v>18</v>
      </c>
      <c r="J38" s="29">
        <v>2400</v>
      </c>
      <c r="K38" s="12">
        <f t="shared" si="1"/>
        <v>133.33333333333334</v>
      </c>
      <c r="L38" s="523">
        <v>18</v>
      </c>
      <c r="M38" s="13">
        <f t="shared" si="24"/>
        <v>2289.3750000000027</v>
      </c>
      <c r="N38" s="12">
        <f t="shared" si="3"/>
        <v>127.18750000000016</v>
      </c>
      <c r="O38" s="14">
        <f t="shared" si="4"/>
        <v>0</v>
      </c>
      <c r="P38" s="15">
        <f t="shared" si="5"/>
        <v>-6.1458333333331865</v>
      </c>
      <c r="Q38" s="519">
        <f t="shared" si="6"/>
        <v>0.95390625000000107</v>
      </c>
      <c r="R38" s="616"/>
      <c r="S38" s="32">
        <v>0.63958333333333317</v>
      </c>
      <c r="T38" s="32">
        <v>0.68402777777777757</v>
      </c>
      <c r="U38" s="518">
        <f t="shared" si="26"/>
        <v>4.9999999999999822</v>
      </c>
      <c r="V38" s="524">
        <f t="shared" si="25"/>
        <v>63.999999999999929</v>
      </c>
      <c r="W38" s="16"/>
      <c r="X38" s="16"/>
      <c r="Y38" s="19"/>
      <c r="Z38" s="19"/>
      <c r="AA38" s="514"/>
      <c r="AB38" s="515"/>
      <c r="AC38" s="136"/>
      <c r="AD38" s="18"/>
      <c r="AE38" s="14">
        <f t="shared" si="8"/>
        <v>-110.62499999999727</v>
      </c>
      <c r="AF38" s="519">
        <f t="shared" si="9"/>
        <v>0.95390625000000118</v>
      </c>
      <c r="AG38" s="616"/>
    </row>
    <row r="39" spans="1:33" ht="15.75" customHeight="1">
      <c r="A39" s="633" t="s">
        <v>180</v>
      </c>
      <c r="B39" s="27" t="s">
        <v>174</v>
      </c>
      <c r="C39" s="609"/>
      <c r="D39" s="610"/>
      <c r="E39" s="520"/>
      <c r="F39" s="525"/>
      <c r="G39" s="518"/>
      <c r="H39" s="525"/>
      <c r="I39" s="21">
        <v>17.555555555555557</v>
      </c>
      <c r="J39" s="29">
        <v>2400</v>
      </c>
      <c r="K39" s="12">
        <f t="shared" si="1"/>
        <v>136.70886075949366</v>
      </c>
      <c r="L39" s="21">
        <v>17.555555555555557</v>
      </c>
      <c r="M39" s="13">
        <f>AVERAGE(M30:M38)</f>
        <v>2304.7643751754135</v>
      </c>
      <c r="N39" s="12">
        <f t="shared" si="3"/>
        <v>131.28404668720708</v>
      </c>
      <c r="O39" s="14">
        <f t="shared" si="4"/>
        <v>0</v>
      </c>
      <c r="P39" s="15">
        <f t="shared" si="5"/>
        <v>-5.4248140722865799</v>
      </c>
      <c r="Q39" s="519">
        <f t="shared" si="6"/>
        <v>0.96031848965642219</v>
      </c>
      <c r="R39" s="616"/>
      <c r="S39" s="32"/>
      <c r="T39" s="32"/>
      <c r="U39" s="518"/>
      <c r="V39" s="524"/>
      <c r="W39" s="518"/>
      <c r="X39" s="518"/>
      <c r="Y39" s="22">
        <f>SUM(Y30:Y38)</f>
        <v>0</v>
      </c>
      <c r="Z39" s="22">
        <f>SUM(Z30:Z38)</f>
        <v>0</v>
      </c>
      <c r="AA39" s="611"/>
      <c r="AB39" s="611"/>
      <c r="AC39" s="22">
        <v>9</v>
      </c>
      <c r="AD39" s="22">
        <f>SUM(AD30:AD38)</f>
        <v>0</v>
      </c>
      <c r="AE39" s="14">
        <f t="shared" si="8"/>
        <v>-95.235624824586466</v>
      </c>
      <c r="AF39" s="519">
        <f t="shared" si="9"/>
        <v>0.9603184896564223</v>
      </c>
      <c r="AG39" s="616"/>
    </row>
    <row r="40" spans="1:33" ht="15.75" customHeight="1">
      <c r="A40" s="629" t="s">
        <v>181</v>
      </c>
      <c r="B40" s="27" t="s">
        <v>20</v>
      </c>
      <c r="C40" s="605" t="s">
        <v>58</v>
      </c>
      <c r="D40" s="606"/>
      <c r="E40" s="27">
        <v>26.18</v>
      </c>
      <c r="F40" s="525">
        <v>5671</v>
      </c>
      <c r="G40" s="518">
        <f t="shared" ref="G40:G45" si="27">E40*F40</f>
        <v>148466.78</v>
      </c>
      <c r="H40" s="31" t="s">
        <v>40</v>
      </c>
      <c r="I40" s="523">
        <v>20</v>
      </c>
      <c r="J40" s="29">
        <v>2400</v>
      </c>
      <c r="K40" s="12">
        <f t="shared" si="1"/>
        <v>120</v>
      </c>
      <c r="L40" s="523">
        <v>20</v>
      </c>
      <c r="M40" s="13">
        <f t="shared" ref="M40:M45" si="28">F40/V40*60</f>
        <v>2283.6241610738252</v>
      </c>
      <c r="N40" s="12">
        <f t="shared" si="3"/>
        <v>114.18120805369126</v>
      </c>
      <c r="O40" s="14">
        <f t="shared" si="4"/>
        <v>0</v>
      </c>
      <c r="P40" s="15">
        <f t="shared" si="5"/>
        <v>-5.8187919463087354</v>
      </c>
      <c r="Q40" s="519">
        <f t="shared" si="6"/>
        <v>0.95151006711409392</v>
      </c>
      <c r="R40" s="616">
        <f>Q46</f>
        <v>0.95545479280273138</v>
      </c>
      <c r="S40" s="32">
        <v>8.3333333333333329E-2</v>
      </c>
      <c r="T40" s="32">
        <v>0.18680555555555556</v>
      </c>
      <c r="U40" s="518"/>
      <c r="V40" s="524">
        <f t="shared" ref="V40:V45" si="29">(T40-S40)*24*60</f>
        <v>149</v>
      </c>
      <c r="W40" s="20">
        <f>T40</f>
        <v>0.18680555555555556</v>
      </c>
      <c r="X40" s="20">
        <f>S41</f>
        <v>0.20555555555555557</v>
      </c>
      <c r="Y40" s="20"/>
      <c r="Z40" s="20"/>
      <c r="AA40" s="612"/>
      <c r="AB40" s="612"/>
      <c r="AC40" s="136">
        <v>6</v>
      </c>
      <c r="AD40" s="18"/>
      <c r="AE40" s="14">
        <f t="shared" si="8"/>
        <v>-116.37583892617477</v>
      </c>
      <c r="AF40" s="519">
        <f t="shared" si="9"/>
        <v>0.9515100671140938</v>
      </c>
      <c r="AG40" s="616">
        <f>AF46</f>
        <v>0.95545479280273127</v>
      </c>
    </row>
    <row r="41" spans="1:33" ht="15.75" customHeight="1">
      <c r="A41" s="629" t="s">
        <v>181</v>
      </c>
      <c r="B41" s="27" t="s">
        <v>20</v>
      </c>
      <c r="C41" s="605" t="s">
        <v>25</v>
      </c>
      <c r="D41" s="606"/>
      <c r="E41" s="27">
        <v>24.43</v>
      </c>
      <c r="F41" s="525">
        <v>3700</v>
      </c>
      <c r="G41" s="518">
        <f t="shared" si="27"/>
        <v>90391</v>
      </c>
      <c r="H41" s="31">
        <v>2</v>
      </c>
      <c r="I41" s="523">
        <v>14</v>
      </c>
      <c r="J41" s="29">
        <v>2400</v>
      </c>
      <c r="K41" s="12">
        <f t="shared" si="1"/>
        <v>171.42857142857142</v>
      </c>
      <c r="L41" s="523">
        <v>14</v>
      </c>
      <c r="M41" s="13">
        <f t="shared" si="28"/>
        <v>2288.6597938144323</v>
      </c>
      <c r="N41" s="12">
        <f t="shared" si="3"/>
        <v>163.47569955817374</v>
      </c>
      <c r="O41" s="14">
        <f t="shared" si="4"/>
        <v>0</v>
      </c>
      <c r="P41" s="15">
        <f t="shared" si="5"/>
        <v>-7.9528718703976722</v>
      </c>
      <c r="Q41" s="519">
        <f t="shared" si="6"/>
        <v>0.95360824742268024</v>
      </c>
      <c r="R41" s="616"/>
      <c r="S41" s="32">
        <v>0.20555555555555557</v>
      </c>
      <c r="T41" s="32">
        <v>0.2729166666666667</v>
      </c>
      <c r="U41" s="518">
        <f t="shared" ref="U41:U45" si="30">(S41-T40)*24*60</f>
        <v>27.000000000000025</v>
      </c>
      <c r="V41" s="524">
        <f t="shared" si="29"/>
        <v>97.000000000000014</v>
      </c>
      <c r="W41" s="518"/>
      <c r="X41" s="518"/>
      <c r="Y41" s="518"/>
      <c r="Z41" s="518"/>
      <c r="AA41" s="612"/>
      <c r="AB41" s="612"/>
      <c r="AC41" s="136"/>
      <c r="AD41" s="18"/>
      <c r="AE41" s="14">
        <f t="shared" si="8"/>
        <v>-111.34020618556769</v>
      </c>
      <c r="AF41" s="519">
        <f t="shared" si="9"/>
        <v>0.95360824742268013</v>
      </c>
      <c r="AG41" s="616"/>
    </row>
    <row r="42" spans="1:33">
      <c r="A42" s="630" t="s">
        <v>181</v>
      </c>
      <c r="B42" s="27" t="s">
        <v>20</v>
      </c>
      <c r="C42" s="605" t="s">
        <v>83</v>
      </c>
      <c r="D42" s="606"/>
      <c r="E42" s="27">
        <v>25.98</v>
      </c>
      <c r="F42" s="525">
        <v>3526</v>
      </c>
      <c r="G42" s="518">
        <f t="shared" si="27"/>
        <v>91605.48</v>
      </c>
      <c r="H42" s="31" t="s">
        <v>40</v>
      </c>
      <c r="I42" s="523">
        <v>20</v>
      </c>
      <c r="J42" s="29">
        <v>2400</v>
      </c>
      <c r="K42" s="12">
        <f t="shared" si="1"/>
        <v>120</v>
      </c>
      <c r="L42" s="523">
        <v>20</v>
      </c>
      <c r="M42" s="13">
        <f t="shared" si="28"/>
        <v>2299.5652173913045</v>
      </c>
      <c r="N42" s="12">
        <f t="shared" si="3"/>
        <v>114.97826086956522</v>
      </c>
      <c r="O42" s="14">
        <f t="shared" si="4"/>
        <v>0</v>
      </c>
      <c r="P42" s="15">
        <f t="shared" si="5"/>
        <v>-5.0217391304347814</v>
      </c>
      <c r="Q42" s="519">
        <f t="shared" si="6"/>
        <v>0.95815217391304353</v>
      </c>
      <c r="R42" s="616"/>
      <c r="S42" s="32">
        <v>0.27777777777777779</v>
      </c>
      <c r="T42" s="32">
        <v>0.34166666666666667</v>
      </c>
      <c r="U42" s="518">
        <f t="shared" si="30"/>
        <v>6.9999999999999751</v>
      </c>
      <c r="V42" s="524">
        <f t="shared" si="29"/>
        <v>92</v>
      </c>
      <c r="W42" s="518"/>
      <c r="X42" s="518"/>
      <c r="Y42" s="518"/>
      <c r="Z42" s="518"/>
      <c r="AA42" s="612"/>
      <c r="AB42" s="612"/>
      <c r="AC42" s="136"/>
      <c r="AD42" s="18"/>
      <c r="AE42" s="14">
        <f t="shared" si="8"/>
        <v>-100.43478260869551</v>
      </c>
      <c r="AF42" s="519">
        <f t="shared" si="9"/>
        <v>0.95815217391304353</v>
      </c>
      <c r="AG42" s="616"/>
    </row>
    <row r="43" spans="1:33">
      <c r="A43" s="630" t="s">
        <v>181</v>
      </c>
      <c r="B43" s="27" t="s">
        <v>20</v>
      </c>
      <c r="C43" s="605" t="s">
        <v>26</v>
      </c>
      <c r="D43" s="606"/>
      <c r="E43" s="27">
        <v>34.1</v>
      </c>
      <c r="F43" s="525">
        <v>6073</v>
      </c>
      <c r="G43" s="518">
        <f t="shared" si="27"/>
        <v>207089.30000000002</v>
      </c>
      <c r="H43" s="31" t="s">
        <v>40</v>
      </c>
      <c r="I43" s="523">
        <v>17</v>
      </c>
      <c r="J43" s="29">
        <v>1600</v>
      </c>
      <c r="K43" s="12">
        <f t="shared" si="1"/>
        <v>94.117647058823536</v>
      </c>
      <c r="L43" s="523">
        <v>17</v>
      </c>
      <c r="M43" s="13">
        <f t="shared" si="28"/>
        <v>1524.6025104602513</v>
      </c>
      <c r="N43" s="12">
        <f t="shared" si="3"/>
        <v>89.682500615308896</v>
      </c>
      <c r="O43" s="14">
        <f t="shared" si="4"/>
        <v>0</v>
      </c>
      <c r="P43" s="15">
        <f t="shared" si="5"/>
        <v>-4.4351464435146397</v>
      </c>
      <c r="Q43" s="519">
        <f t="shared" si="6"/>
        <v>0.95287656903765694</v>
      </c>
      <c r="R43" s="616"/>
      <c r="S43" s="32">
        <v>0.34513888888888888</v>
      </c>
      <c r="T43" s="32">
        <v>0.51111111111111107</v>
      </c>
      <c r="U43" s="518">
        <f t="shared" si="30"/>
        <v>4.9999999999999822</v>
      </c>
      <c r="V43" s="524">
        <f t="shared" si="29"/>
        <v>238.99999999999994</v>
      </c>
      <c r="W43" s="16">
        <f>T43</f>
        <v>0.51111111111111107</v>
      </c>
      <c r="X43" s="16">
        <f>S44</f>
        <v>0.55208333333333326</v>
      </c>
      <c r="Y43" s="16"/>
      <c r="Z43" s="16"/>
      <c r="AA43" s="612"/>
      <c r="AB43" s="612"/>
      <c r="AC43" s="136"/>
      <c r="AD43" s="18"/>
      <c r="AE43" s="14">
        <f t="shared" si="8"/>
        <v>-75.397489539748676</v>
      </c>
      <c r="AF43" s="519">
        <f t="shared" si="9"/>
        <v>0.95287656903765705</v>
      </c>
      <c r="AG43" s="616"/>
    </row>
    <row r="44" spans="1:33">
      <c r="A44" s="630" t="s">
        <v>2666</v>
      </c>
      <c r="B44" s="27" t="s">
        <v>20</v>
      </c>
      <c r="C44" s="605" t="s">
        <v>25</v>
      </c>
      <c r="D44" s="606"/>
      <c r="E44" s="27">
        <v>24.43</v>
      </c>
      <c r="F44" s="525">
        <v>2800</v>
      </c>
      <c r="G44" s="518">
        <f t="shared" si="27"/>
        <v>68404</v>
      </c>
      <c r="H44" s="31" t="s">
        <v>40</v>
      </c>
      <c r="I44" s="523">
        <v>14</v>
      </c>
      <c r="J44" s="29">
        <v>2400</v>
      </c>
      <c r="K44" s="12">
        <f t="shared" si="1"/>
        <v>171.42857142857142</v>
      </c>
      <c r="L44" s="523">
        <v>14</v>
      </c>
      <c r="M44" s="13">
        <f t="shared" si="28"/>
        <v>2301.3698630136969</v>
      </c>
      <c r="N44" s="12">
        <f t="shared" si="3"/>
        <v>164.38356164383549</v>
      </c>
      <c r="O44" s="14">
        <f t="shared" si="4"/>
        <v>0</v>
      </c>
      <c r="P44" s="15">
        <f t="shared" si="5"/>
        <v>-7.0450097847359245</v>
      </c>
      <c r="Q44" s="519">
        <f t="shared" si="6"/>
        <v>0.95890410958904049</v>
      </c>
      <c r="R44" s="616"/>
      <c r="S44" s="32">
        <v>0.55208333333333326</v>
      </c>
      <c r="T44" s="32">
        <v>0.60277777777777775</v>
      </c>
      <c r="U44" s="518">
        <f t="shared" si="30"/>
        <v>58.99999999999995</v>
      </c>
      <c r="V44" s="524">
        <f t="shared" si="29"/>
        <v>73.000000000000057</v>
      </c>
      <c r="W44" s="16"/>
      <c r="X44" s="16"/>
      <c r="Y44" s="16"/>
      <c r="Z44" s="16"/>
      <c r="AA44" s="612"/>
      <c r="AB44" s="612"/>
      <c r="AC44" s="136"/>
      <c r="AD44" s="18"/>
      <c r="AE44" s="14">
        <f t="shared" si="8"/>
        <v>-98.630136986303114</v>
      </c>
      <c r="AF44" s="519">
        <f t="shared" si="9"/>
        <v>0.95890410958904038</v>
      </c>
      <c r="AG44" s="616"/>
    </row>
    <row r="45" spans="1:33">
      <c r="A45" s="630" t="s">
        <v>181</v>
      </c>
      <c r="B45" s="27" t="s">
        <v>20</v>
      </c>
      <c r="C45" s="605" t="s">
        <v>80</v>
      </c>
      <c r="D45" s="606"/>
      <c r="E45" s="27">
        <v>25.98</v>
      </c>
      <c r="F45" s="525">
        <v>1263</v>
      </c>
      <c r="G45" s="518">
        <f t="shared" si="27"/>
        <v>32812.74</v>
      </c>
      <c r="H45" s="31" t="s">
        <v>40</v>
      </c>
      <c r="I45" s="523">
        <v>17</v>
      </c>
      <c r="J45" s="29">
        <v>2400</v>
      </c>
      <c r="K45" s="12">
        <f t="shared" si="1"/>
        <v>141.1764705882353</v>
      </c>
      <c r="L45" s="523">
        <v>17</v>
      </c>
      <c r="M45" s="13">
        <f t="shared" si="28"/>
        <v>2296.3636363636333</v>
      </c>
      <c r="N45" s="12">
        <f t="shared" si="3"/>
        <v>135.08021390374313</v>
      </c>
      <c r="O45" s="14">
        <f t="shared" si="4"/>
        <v>0</v>
      </c>
      <c r="P45" s="15">
        <f t="shared" si="5"/>
        <v>-6.0962566844921753</v>
      </c>
      <c r="Q45" s="519">
        <f t="shared" si="6"/>
        <v>0.95681818181818046</v>
      </c>
      <c r="R45" s="616"/>
      <c r="S45" s="32">
        <v>0.60833333333333328</v>
      </c>
      <c r="T45" s="32">
        <v>0.63124999999999998</v>
      </c>
      <c r="U45" s="518">
        <f t="shared" si="30"/>
        <v>7.9999999999999716</v>
      </c>
      <c r="V45" s="524">
        <f t="shared" si="29"/>
        <v>33.000000000000043</v>
      </c>
      <c r="W45" s="16"/>
      <c r="X45" s="16"/>
      <c r="Y45" s="16"/>
      <c r="Z45" s="16"/>
      <c r="AA45" s="612"/>
      <c r="AB45" s="612"/>
      <c r="AC45" s="136"/>
      <c r="AD45" s="18"/>
      <c r="AE45" s="14">
        <f t="shared" si="8"/>
        <v>-103.6363636363667</v>
      </c>
      <c r="AF45" s="519">
        <f t="shared" si="9"/>
        <v>0.95681818181818057</v>
      </c>
      <c r="AG45" s="616"/>
    </row>
    <row r="46" spans="1:33">
      <c r="A46" s="630" t="s">
        <v>181</v>
      </c>
      <c r="B46" s="28" t="s">
        <v>174</v>
      </c>
      <c r="C46" s="609"/>
      <c r="D46" s="610"/>
      <c r="E46" s="520"/>
      <c r="F46" s="28"/>
      <c r="G46" s="12"/>
      <c r="H46" s="525"/>
      <c r="I46" s="21">
        <v>17</v>
      </c>
      <c r="J46" s="29">
        <v>2266.6666666666665</v>
      </c>
      <c r="K46" s="12">
        <f t="shared" si="1"/>
        <v>133.33333333333331</v>
      </c>
      <c r="L46" s="21">
        <v>17</v>
      </c>
      <c r="M46" s="13">
        <f>AVERAGE(M40:M45)</f>
        <v>2165.6975303528575</v>
      </c>
      <c r="N46" s="12">
        <f t="shared" si="3"/>
        <v>127.39397237369749</v>
      </c>
      <c r="O46" s="14">
        <f t="shared" si="4"/>
        <v>0</v>
      </c>
      <c r="P46" s="15">
        <f t="shared" si="5"/>
        <v>-5.9393609596358203</v>
      </c>
      <c r="Q46" s="519">
        <f t="shared" si="6"/>
        <v>0.95545479280273138</v>
      </c>
      <c r="R46" s="616"/>
      <c r="S46" s="32"/>
      <c r="T46" s="32"/>
      <c r="U46" s="12"/>
      <c r="V46" s="524"/>
      <c r="W46" s="12"/>
      <c r="X46" s="12"/>
      <c r="Y46" s="22">
        <f>SUM(Y40:Y45)</f>
        <v>0</v>
      </c>
      <c r="Z46" s="22">
        <f>SUM(Z40:Z45)</f>
        <v>0</v>
      </c>
      <c r="AA46" s="611"/>
      <c r="AB46" s="611"/>
      <c r="AC46" s="22">
        <v>6</v>
      </c>
      <c r="AD46" s="22">
        <f>SUM(AD40:AD45)</f>
        <v>0</v>
      </c>
      <c r="AE46" s="14">
        <f t="shared" si="8"/>
        <v>-100.96913631380903</v>
      </c>
      <c r="AF46" s="519">
        <f t="shared" si="9"/>
        <v>0.95545479280273127</v>
      </c>
      <c r="AG46" s="616"/>
    </row>
    <row r="47" spans="1:33" ht="15.75" customHeight="1">
      <c r="A47" s="623" t="s">
        <v>2667</v>
      </c>
      <c r="B47" s="27" t="s">
        <v>27</v>
      </c>
      <c r="C47" s="605" t="s">
        <v>29</v>
      </c>
      <c r="D47" s="606"/>
      <c r="E47" s="27">
        <v>21.13</v>
      </c>
      <c r="F47" s="525">
        <v>5164</v>
      </c>
      <c r="G47" s="518">
        <f t="shared" ref="G47:G50" si="31">E47*F47</f>
        <v>109115.31999999999</v>
      </c>
      <c r="H47" s="31" t="s">
        <v>40</v>
      </c>
      <c r="I47" s="523">
        <v>10</v>
      </c>
      <c r="J47" s="29">
        <v>3000</v>
      </c>
      <c r="K47" s="12">
        <f t="shared" si="1"/>
        <v>300</v>
      </c>
      <c r="L47" s="523">
        <v>10</v>
      </c>
      <c r="M47" s="13">
        <f t="shared" ref="M47:M50" si="32">F47/V47*60</f>
        <v>2868.8888888888901</v>
      </c>
      <c r="N47" s="13">
        <f t="shared" si="3"/>
        <v>286.88888888888903</v>
      </c>
      <c r="O47" s="14">
        <f t="shared" si="4"/>
        <v>0</v>
      </c>
      <c r="P47" s="15">
        <f t="shared" si="5"/>
        <v>-13.111111111110972</v>
      </c>
      <c r="Q47" s="519">
        <f t="shared" si="6"/>
        <v>0.95629629629629676</v>
      </c>
      <c r="R47" s="626">
        <f>Q51</f>
        <v>0.96038184215738376</v>
      </c>
      <c r="S47" s="32">
        <v>0.20833333333333334</v>
      </c>
      <c r="T47" s="32">
        <v>0.28333333333333333</v>
      </c>
      <c r="U47" s="20"/>
      <c r="V47" s="524">
        <f t="shared" ref="V47:V50" si="33">(T47-S47)*24*60</f>
        <v>107.99999999999997</v>
      </c>
      <c r="W47" s="16"/>
      <c r="X47" s="16"/>
      <c r="Y47" s="19"/>
      <c r="Z47" s="19"/>
      <c r="AA47" s="607"/>
      <c r="AB47" s="608"/>
      <c r="AC47" s="136">
        <v>4</v>
      </c>
      <c r="AD47" s="18"/>
      <c r="AE47" s="14">
        <f t="shared" si="8"/>
        <v>-131.11111111110995</v>
      </c>
      <c r="AF47" s="519">
        <f t="shared" si="9"/>
        <v>0.95629629629629664</v>
      </c>
      <c r="AG47" s="626">
        <f>AF51</f>
        <v>0.96038184215738376</v>
      </c>
    </row>
    <row r="48" spans="1:33" ht="15.75" customHeight="1">
      <c r="A48" s="624" t="s">
        <v>75</v>
      </c>
      <c r="B48" s="27" t="s">
        <v>27</v>
      </c>
      <c r="C48" s="605" t="s">
        <v>30</v>
      </c>
      <c r="D48" s="606"/>
      <c r="E48" s="27">
        <v>27.17</v>
      </c>
      <c r="F48" s="525">
        <v>4547</v>
      </c>
      <c r="G48" s="518">
        <f t="shared" si="31"/>
        <v>123541.99</v>
      </c>
      <c r="H48" s="31" t="s">
        <v>40</v>
      </c>
      <c r="I48" s="523">
        <v>10</v>
      </c>
      <c r="J48" s="29">
        <v>3000</v>
      </c>
      <c r="K48" s="12">
        <f t="shared" si="1"/>
        <v>300</v>
      </c>
      <c r="L48" s="523">
        <v>10</v>
      </c>
      <c r="M48" s="13">
        <f t="shared" si="32"/>
        <v>2871.7894736842109</v>
      </c>
      <c r="N48" s="13">
        <f t="shared" si="3"/>
        <v>287.17894736842106</v>
      </c>
      <c r="O48" s="14">
        <f t="shared" si="4"/>
        <v>0</v>
      </c>
      <c r="P48" s="15">
        <f t="shared" si="5"/>
        <v>-12.821052631578937</v>
      </c>
      <c r="Q48" s="519">
        <f t="shared" si="6"/>
        <v>0.95726315789473693</v>
      </c>
      <c r="R48" s="627"/>
      <c r="S48" s="32">
        <v>0.28749999999999998</v>
      </c>
      <c r="T48" s="32">
        <v>0.35347222222222219</v>
      </c>
      <c r="U48" s="518">
        <f t="shared" ref="U48:U50" si="34">(S48-T47)*24*60</f>
        <v>5.9999999999999787</v>
      </c>
      <c r="V48" s="524">
        <f t="shared" si="33"/>
        <v>94.999999999999986</v>
      </c>
      <c r="W48" s="16"/>
      <c r="X48" s="16"/>
      <c r="Y48" s="19"/>
      <c r="Z48" s="19"/>
      <c r="AA48" s="607"/>
      <c r="AB48" s="608"/>
      <c r="AC48" s="136"/>
      <c r="AD48" s="18"/>
      <c r="AE48" s="14">
        <f t="shared" si="8"/>
        <v>-128.21052631578914</v>
      </c>
      <c r="AF48" s="519">
        <f t="shared" si="9"/>
        <v>0.95726315789473693</v>
      </c>
      <c r="AG48" s="627"/>
    </row>
    <row r="49" spans="1:33" ht="15.75" customHeight="1">
      <c r="A49" s="624" t="s">
        <v>75</v>
      </c>
      <c r="B49" s="27" t="s">
        <v>27</v>
      </c>
      <c r="C49" s="605" t="s">
        <v>35</v>
      </c>
      <c r="D49" s="606"/>
      <c r="E49" s="27">
        <v>35.869999999999997</v>
      </c>
      <c r="F49" s="525">
        <v>2114</v>
      </c>
      <c r="G49" s="518">
        <f t="shared" si="31"/>
        <v>75829.179999999993</v>
      </c>
      <c r="H49" s="31" t="s">
        <v>40</v>
      </c>
      <c r="I49" s="523">
        <v>9</v>
      </c>
      <c r="J49" s="29">
        <v>3000</v>
      </c>
      <c r="K49" s="12">
        <f t="shared" si="1"/>
        <v>333.33333333333331</v>
      </c>
      <c r="L49" s="523">
        <v>9</v>
      </c>
      <c r="M49" s="13">
        <f t="shared" si="32"/>
        <v>2882.727272727273</v>
      </c>
      <c r="N49" s="13">
        <f t="shared" si="3"/>
        <v>320.30303030303031</v>
      </c>
      <c r="O49" s="14">
        <f t="shared" si="4"/>
        <v>0</v>
      </c>
      <c r="P49" s="15">
        <f t="shared" si="5"/>
        <v>-13.030303030303003</v>
      </c>
      <c r="Q49" s="519">
        <f t="shared" si="6"/>
        <v>0.96090909090909093</v>
      </c>
      <c r="R49" s="627"/>
      <c r="S49" s="32">
        <v>0.35833333333333328</v>
      </c>
      <c r="T49" s="32">
        <v>0.38888888888888884</v>
      </c>
      <c r="U49" s="518">
        <f t="shared" si="34"/>
        <v>6.9999999999999751</v>
      </c>
      <c r="V49" s="524">
        <f t="shared" si="33"/>
        <v>44</v>
      </c>
      <c r="W49" s="16"/>
      <c r="X49" s="16"/>
      <c r="Y49" s="19"/>
      <c r="Z49" s="19"/>
      <c r="AA49" s="607"/>
      <c r="AB49" s="608"/>
      <c r="AC49" s="136"/>
      <c r="AD49" s="18"/>
      <c r="AE49" s="14">
        <f t="shared" si="8"/>
        <v>-117.27272727272702</v>
      </c>
      <c r="AF49" s="519">
        <f t="shared" si="9"/>
        <v>0.96090909090909105</v>
      </c>
      <c r="AG49" s="627"/>
    </row>
    <row r="50" spans="1:33" ht="15.75" customHeight="1">
      <c r="A50" s="624" t="s">
        <v>2668</v>
      </c>
      <c r="B50" s="27" t="s">
        <v>27</v>
      </c>
      <c r="C50" s="605" t="s">
        <v>36</v>
      </c>
      <c r="D50" s="606"/>
      <c r="E50" s="27">
        <v>34.35</v>
      </c>
      <c r="F50" s="525">
        <v>822</v>
      </c>
      <c r="G50" s="518">
        <f t="shared" si="31"/>
        <v>28235.7</v>
      </c>
      <c r="H50" s="31" t="s">
        <v>40</v>
      </c>
      <c r="I50" s="523">
        <v>8</v>
      </c>
      <c r="J50" s="29">
        <v>3000</v>
      </c>
      <c r="K50" s="12">
        <f t="shared" si="1"/>
        <v>375</v>
      </c>
      <c r="L50" s="523">
        <v>8</v>
      </c>
      <c r="M50" s="13">
        <f t="shared" si="32"/>
        <v>2901.176470588232</v>
      </c>
      <c r="N50" s="13">
        <f t="shared" si="3"/>
        <v>362.64705882352899</v>
      </c>
      <c r="O50" s="14">
        <f t="shared" si="4"/>
        <v>0</v>
      </c>
      <c r="P50" s="15">
        <f t="shared" si="5"/>
        <v>-12.352941176471006</v>
      </c>
      <c r="Q50" s="519">
        <f t="shared" si="6"/>
        <v>0.96705882352941064</v>
      </c>
      <c r="R50" s="627"/>
      <c r="S50" s="32">
        <v>0.39374999999999993</v>
      </c>
      <c r="T50" s="32">
        <v>0.4055555555555555</v>
      </c>
      <c r="U50" s="518">
        <f t="shared" si="34"/>
        <v>6.9999999999999751</v>
      </c>
      <c r="V50" s="524">
        <f t="shared" si="33"/>
        <v>17.000000000000021</v>
      </c>
      <c r="W50" s="16"/>
      <c r="X50" s="16"/>
      <c r="Y50" s="19"/>
      <c r="Z50" s="19"/>
      <c r="AA50" s="607"/>
      <c r="AB50" s="608"/>
      <c r="AC50" s="136"/>
      <c r="AD50" s="18"/>
      <c r="AE50" s="14">
        <f t="shared" si="8"/>
        <v>-98.82352941176805</v>
      </c>
      <c r="AF50" s="519">
        <f t="shared" si="9"/>
        <v>0.96705882352941064</v>
      </c>
      <c r="AG50" s="627"/>
    </row>
    <row r="51" spans="1:33" ht="15.75" customHeight="1">
      <c r="A51" s="625" t="s">
        <v>75</v>
      </c>
      <c r="B51" s="27" t="s">
        <v>174</v>
      </c>
      <c r="C51" s="609"/>
      <c r="D51" s="610"/>
      <c r="E51" s="516"/>
      <c r="F51" s="525"/>
      <c r="G51" s="518"/>
      <c r="H51" s="525"/>
      <c r="I51" s="21">
        <v>9.25</v>
      </c>
      <c r="J51" s="29">
        <v>3000</v>
      </c>
      <c r="K51" s="12">
        <f t="shared" si="1"/>
        <v>324.32432432432432</v>
      </c>
      <c r="L51" s="21">
        <v>9.25</v>
      </c>
      <c r="M51" s="13">
        <f>AVERAGE(M47:M50)</f>
        <v>2881.1455264721512</v>
      </c>
      <c r="N51" s="12">
        <f t="shared" si="3"/>
        <v>311.47519205104339</v>
      </c>
      <c r="O51" s="14">
        <f t="shared" si="4"/>
        <v>0</v>
      </c>
      <c r="P51" s="15">
        <f t="shared" si="5"/>
        <v>-12.849132273280929</v>
      </c>
      <c r="Q51" s="519">
        <f t="shared" si="6"/>
        <v>0.96038184215738376</v>
      </c>
      <c r="R51" s="628"/>
      <c r="S51" s="32"/>
      <c r="T51" s="32"/>
      <c r="U51" s="518"/>
      <c r="V51" s="524"/>
      <c r="W51" s="16"/>
      <c r="X51" s="16"/>
      <c r="Y51" s="22">
        <f>SUM(Y47:Y50)</f>
        <v>0</v>
      </c>
      <c r="Z51" s="22">
        <f>SUM(Z47:Z50)</f>
        <v>0</v>
      </c>
      <c r="AA51" s="619"/>
      <c r="AB51" s="620"/>
      <c r="AC51" s="22">
        <v>4</v>
      </c>
      <c r="AD51" s="22">
        <f>SUM(AD47:AD50)</f>
        <v>0</v>
      </c>
      <c r="AE51" s="14">
        <f t="shared" si="8"/>
        <v>-118.85447352784877</v>
      </c>
      <c r="AF51" s="519">
        <f t="shared" si="9"/>
        <v>0.96038184215738376</v>
      </c>
      <c r="AG51" s="628"/>
    </row>
    <row r="52" spans="1:33" ht="15.75" customHeight="1">
      <c r="A52" s="621" t="s">
        <v>71</v>
      </c>
      <c r="B52" s="27" t="s">
        <v>11</v>
      </c>
      <c r="C52" s="605" t="s">
        <v>2492</v>
      </c>
      <c r="D52" s="606"/>
      <c r="E52" s="27">
        <v>51.44</v>
      </c>
      <c r="F52" s="30">
        <v>5175</v>
      </c>
      <c r="G52" s="518">
        <f t="shared" ref="G52:G60" si="35">E52*F52</f>
        <v>266202</v>
      </c>
      <c r="H52" s="31" t="s">
        <v>40</v>
      </c>
      <c r="I52" s="523">
        <v>18</v>
      </c>
      <c r="J52" s="29">
        <v>2000</v>
      </c>
      <c r="K52" s="12">
        <f t="shared" si="1"/>
        <v>111.11111111111111</v>
      </c>
      <c r="L52" s="523">
        <v>18</v>
      </c>
      <c r="M52" s="13">
        <f t="shared" ref="M52" si="36">F52/V52*60</f>
        <v>1904.9079754601225</v>
      </c>
      <c r="N52" s="13">
        <f t="shared" si="3"/>
        <v>105.82822085889569</v>
      </c>
      <c r="O52" s="14">
        <f t="shared" si="4"/>
        <v>0</v>
      </c>
      <c r="P52" s="15">
        <f t="shared" si="5"/>
        <v>-5.2828902522154237</v>
      </c>
      <c r="Q52" s="519">
        <f t="shared" si="6"/>
        <v>0.95245398773006118</v>
      </c>
      <c r="R52" s="616">
        <f>Q61</f>
        <v>0.961409974990312</v>
      </c>
      <c r="S52" s="32">
        <v>8.3333333333333329E-2</v>
      </c>
      <c r="T52" s="32">
        <v>0.19652777777777777</v>
      </c>
      <c r="U52" s="20"/>
      <c r="V52" s="524">
        <f t="shared" ref="V52:V60" si="37">(T52-S52)*24*60</f>
        <v>163</v>
      </c>
      <c r="W52" s="16">
        <f>T52</f>
        <v>0.19652777777777777</v>
      </c>
      <c r="X52" s="16">
        <f>S53</f>
        <v>0.21527777777777776</v>
      </c>
      <c r="Y52" s="20"/>
      <c r="Z52" s="20"/>
      <c r="AA52" s="612"/>
      <c r="AB52" s="612"/>
      <c r="AC52" s="136">
        <v>9</v>
      </c>
      <c r="AD52" s="18"/>
      <c r="AE52" s="14">
        <f t="shared" si="8"/>
        <v>-95.092024539877457</v>
      </c>
      <c r="AF52" s="519">
        <f t="shared" si="9"/>
        <v>0.95245398773006129</v>
      </c>
      <c r="AG52" s="616">
        <f>AF61</f>
        <v>0.96140997499031211</v>
      </c>
    </row>
    <row r="53" spans="1:33" ht="15.75" customHeight="1">
      <c r="A53" s="621" t="s">
        <v>71</v>
      </c>
      <c r="B53" s="27" t="s">
        <v>5</v>
      </c>
      <c r="C53" s="605" t="s">
        <v>15</v>
      </c>
      <c r="D53" s="606"/>
      <c r="E53" s="27">
        <v>59.04</v>
      </c>
      <c r="F53" s="30">
        <v>1768</v>
      </c>
      <c r="G53" s="518">
        <f t="shared" si="35"/>
        <v>104382.72</v>
      </c>
      <c r="H53" s="31" t="s">
        <v>40</v>
      </c>
      <c r="I53" s="523">
        <v>19</v>
      </c>
      <c r="J53" s="29">
        <v>2000</v>
      </c>
      <c r="K53" s="12">
        <f t="shared" si="1"/>
        <v>105.26315789473684</v>
      </c>
      <c r="L53" s="523">
        <v>19</v>
      </c>
      <c r="M53" s="13">
        <f>F53/V53*60</f>
        <v>1928.7272727272725</v>
      </c>
      <c r="N53" s="13">
        <f t="shared" si="3"/>
        <v>101.51196172248802</v>
      </c>
      <c r="O53" s="14">
        <f t="shared" si="4"/>
        <v>0</v>
      </c>
      <c r="P53" s="15">
        <f t="shared" si="5"/>
        <v>-3.751196172248811</v>
      </c>
      <c r="Q53" s="519">
        <f t="shared" si="6"/>
        <v>0.96436363636363631</v>
      </c>
      <c r="R53" s="616"/>
      <c r="S53" s="32">
        <v>0.21527777777777776</v>
      </c>
      <c r="T53" s="32">
        <v>0.25347222222222221</v>
      </c>
      <c r="U53" s="518">
        <f t="shared" ref="U53:U60" si="38">IF(S53=TIME(17,0,0),"",(S53-T52)*24*60)</f>
        <v>26.999999999999986</v>
      </c>
      <c r="V53" s="524">
        <f t="shared" si="37"/>
        <v>55.000000000000007</v>
      </c>
      <c r="W53" s="16"/>
      <c r="X53" s="16"/>
      <c r="Y53" s="16"/>
      <c r="Z53" s="16"/>
      <c r="AA53" s="612"/>
      <c r="AB53" s="612"/>
      <c r="AC53" s="136"/>
      <c r="AD53" s="18"/>
      <c r="AE53" s="14">
        <f t="shared" si="8"/>
        <v>-71.272727272727479</v>
      </c>
      <c r="AF53" s="519">
        <f t="shared" si="9"/>
        <v>0.96436363636363631</v>
      </c>
      <c r="AG53" s="616"/>
    </row>
    <row r="54" spans="1:33" ht="15.75" customHeight="1">
      <c r="A54" s="621" t="s">
        <v>71</v>
      </c>
      <c r="B54" s="27" t="s">
        <v>5</v>
      </c>
      <c r="C54" s="605" t="s">
        <v>31</v>
      </c>
      <c r="D54" s="606"/>
      <c r="E54" s="27">
        <v>56.43</v>
      </c>
      <c r="F54" s="30">
        <v>1125</v>
      </c>
      <c r="G54" s="518">
        <f t="shared" si="35"/>
        <v>63483.75</v>
      </c>
      <c r="H54" s="31" t="s">
        <v>40</v>
      </c>
      <c r="I54" s="523">
        <v>22</v>
      </c>
      <c r="J54" s="29">
        <v>2000</v>
      </c>
      <c r="K54" s="12">
        <f t="shared" si="1"/>
        <v>90.909090909090907</v>
      </c>
      <c r="L54" s="523">
        <v>22</v>
      </c>
      <c r="M54" s="13">
        <f t="shared" ref="M54:M60" si="39">F54/V54*60</f>
        <v>1928.5714285714266</v>
      </c>
      <c r="N54" s="13">
        <f t="shared" si="3"/>
        <v>87.662337662337578</v>
      </c>
      <c r="O54" s="14">
        <f t="shared" si="4"/>
        <v>0</v>
      </c>
      <c r="P54" s="15">
        <f t="shared" si="5"/>
        <v>-3.2467532467533289</v>
      </c>
      <c r="Q54" s="519">
        <f t="shared" si="6"/>
        <v>0.96428571428571341</v>
      </c>
      <c r="R54" s="616"/>
      <c r="S54" s="32">
        <v>0.25694444444444442</v>
      </c>
      <c r="T54" s="32">
        <v>0.28125</v>
      </c>
      <c r="U54" s="518">
        <f t="shared" si="38"/>
        <v>4.9999999999999822</v>
      </c>
      <c r="V54" s="524">
        <f t="shared" si="37"/>
        <v>35.000000000000036</v>
      </c>
      <c r="W54" s="16"/>
      <c r="X54" s="16"/>
      <c r="Y54" s="19"/>
      <c r="Z54" s="19"/>
      <c r="AA54" s="612"/>
      <c r="AB54" s="612"/>
      <c r="AC54" s="136"/>
      <c r="AD54" s="18"/>
      <c r="AE54" s="14">
        <f t="shared" si="8"/>
        <v>-71.428571428573377</v>
      </c>
      <c r="AF54" s="519">
        <f t="shared" si="9"/>
        <v>0.9642857142857133</v>
      </c>
      <c r="AG54" s="616"/>
    </row>
    <row r="55" spans="1:33" ht="15.75" customHeight="1">
      <c r="A55" s="621" t="s">
        <v>2669</v>
      </c>
      <c r="B55" s="27" t="s">
        <v>5</v>
      </c>
      <c r="C55" s="512" t="s">
        <v>81</v>
      </c>
      <c r="D55" s="513"/>
      <c r="E55" s="27">
        <v>51.44</v>
      </c>
      <c r="F55" s="30">
        <v>1592</v>
      </c>
      <c r="G55" s="518">
        <f t="shared" si="35"/>
        <v>81892.479999999996</v>
      </c>
      <c r="H55" s="31" t="s">
        <v>40</v>
      </c>
      <c r="I55" s="523">
        <v>25</v>
      </c>
      <c r="J55" s="29">
        <v>2000</v>
      </c>
      <c r="K55" s="12">
        <f t="shared" si="1"/>
        <v>80</v>
      </c>
      <c r="L55" s="523">
        <v>25</v>
      </c>
      <c r="M55" s="13">
        <f t="shared" si="39"/>
        <v>1910.4000000000005</v>
      </c>
      <c r="N55" s="13">
        <f t="shared" si="3"/>
        <v>76.416000000000025</v>
      </c>
      <c r="O55" s="14">
        <f t="shared" si="4"/>
        <v>0</v>
      </c>
      <c r="P55" s="15">
        <f t="shared" si="5"/>
        <v>-3.5839999999999748</v>
      </c>
      <c r="Q55" s="519">
        <f t="shared" si="6"/>
        <v>0.95520000000000027</v>
      </c>
      <c r="R55" s="616"/>
      <c r="S55" s="32">
        <v>0.28541666666666665</v>
      </c>
      <c r="T55" s="32">
        <v>0.32013888888888886</v>
      </c>
      <c r="U55" s="518">
        <f t="shared" si="38"/>
        <v>5.9999999999999787</v>
      </c>
      <c r="V55" s="524">
        <f t="shared" si="37"/>
        <v>49.999999999999986</v>
      </c>
      <c r="W55" s="16"/>
      <c r="X55" s="16"/>
      <c r="Y55" s="19"/>
      <c r="Z55" s="19"/>
      <c r="AA55" s="612"/>
      <c r="AB55" s="612"/>
      <c r="AC55" s="136"/>
      <c r="AD55" s="18"/>
      <c r="AE55" s="14">
        <f t="shared" si="8"/>
        <v>-89.599999999999454</v>
      </c>
      <c r="AF55" s="519">
        <f t="shared" si="9"/>
        <v>0.95520000000000027</v>
      </c>
      <c r="AG55" s="616"/>
    </row>
    <row r="56" spans="1:33" ht="15.75" customHeight="1">
      <c r="A56" s="621" t="s">
        <v>71</v>
      </c>
      <c r="B56" s="27" t="s">
        <v>8</v>
      </c>
      <c r="C56" s="512" t="s">
        <v>61</v>
      </c>
      <c r="D56" s="513"/>
      <c r="E56" s="27">
        <v>46</v>
      </c>
      <c r="F56" s="30">
        <v>1576</v>
      </c>
      <c r="G56" s="518">
        <f t="shared" si="35"/>
        <v>72496</v>
      </c>
      <c r="H56" s="31" t="s">
        <v>40</v>
      </c>
      <c r="I56" s="523">
        <v>16</v>
      </c>
      <c r="J56" s="29">
        <v>2000</v>
      </c>
      <c r="K56" s="12">
        <f t="shared" si="1"/>
        <v>125</v>
      </c>
      <c r="L56" s="523">
        <v>16</v>
      </c>
      <c r="M56" s="13">
        <f t="shared" si="39"/>
        <v>1929.7959183673477</v>
      </c>
      <c r="N56" s="13">
        <f t="shared" si="3"/>
        <v>120.61224489795923</v>
      </c>
      <c r="O56" s="14">
        <f t="shared" si="4"/>
        <v>0</v>
      </c>
      <c r="P56" s="15">
        <f t="shared" si="5"/>
        <v>-4.3877551020407708</v>
      </c>
      <c r="Q56" s="519">
        <f t="shared" si="6"/>
        <v>0.96489795918367383</v>
      </c>
      <c r="R56" s="616"/>
      <c r="S56" s="32">
        <v>0.32499999999999996</v>
      </c>
      <c r="T56" s="32">
        <v>0.35902777777777772</v>
      </c>
      <c r="U56" s="518">
        <f t="shared" si="38"/>
        <v>6.9999999999999751</v>
      </c>
      <c r="V56" s="524">
        <f t="shared" si="37"/>
        <v>48.999999999999986</v>
      </c>
      <c r="W56" s="16"/>
      <c r="X56" s="16"/>
      <c r="Y56" s="19"/>
      <c r="Z56" s="19"/>
      <c r="AA56" s="612"/>
      <c r="AB56" s="612"/>
      <c r="AC56" s="136"/>
      <c r="AD56" s="18"/>
      <c r="AE56" s="14">
        <f t="shared" si="8"/>
        <v>-70.204081632652333</v>
      </c>
      <c r="AF56" s="519">
        <f t="shared" si="9"/>
        <v>0.96489795918367383</v>
      </c>
      <c r="AG56" s="616"/>
    </row>
    <row r="57" spans="1:33" ht="15.75" customHeight="1">
      <c r="A57" s="621" t="s">
        <v>71</v>
      </c>
      <c r="B57" s="27" t="s">
        <v>8</v>
      </c>
      <c r="C57" s="605" t="s">
        <v>79</v>
      </c>
      <c r="D57" s="606"/>
      <c r="E57" s="27">
        <v>46</v>
      </c>
      <c r="F57" s="30">
        <v>1996</v>
      </c>
      <c r="G57" s="518">
        <f t="shared" si="35"/>
        <v>91816</v>
      </c>
      <c r="H57" s="31" t="s">
        <v>40</v>
      </c>
      <c r="I57" s="523">
        <v>17</v>
      </c>
      <c r="J57" s="29">
        <v>2000</v>
      </c>
      <c r="K57" s="12">
        <f t="shared" si="1"/>
        <v>117.64705882352941</v>
      </c>
      <c r="L57" s="523">
        <v>17</v>
      </c>
      <c r="M57" s="13">
        <f t="shared" si="39"/>
        <v>1931.6129032258057</v>
      </c>
      <c r="N57" s="13">
        <f t="shared" si="3"/>
        <v>113.6242884250474</v>
      </c>
      <c r="O57" s="14">
        <f t="shared" si="4"/>
        <v>0</v>
      </c>
      <c r="P57" s="15">
        <f t="shared" si="5"/>
        <v>-4.0227703984820096</v>
      </c>
      <c r="Q57" s="519">
        <f t="shared" si="6"/>
        <v>0.96580645161290291</v>
      </c>
      <c r="R57" s="616"/>
      <c r="S57" s="32">
        <v>0.36319444444444438</v>
      </c>
      <c r="T57" s="32">
        <v>0.40624999999999994</v>
      </c>
      <c r="U57" s="518">
        <f t="shared" si="38"/>
        <v>5.9999999999999787</v>
      </c>
      <c r="V57" s="524">
        <f t="shared" si="37"/>
        <v>62.000000000000021</v>
      </c>
      <c r="W57" s="16"/>
      <c r="X57" s="16"/>
      <c r="Y57" s="19"/>
      <c r="Z57" s="19"/>
      <c r="AA57" s="607"/>
      <c r="AB57" s="608"/>
      <c r="AC57" s="136"/>
      <c r="AD57" s="18"/>
      <c r="AE57" s="14">
        <f t="shared" si="8"/>
        <v>-68.387096774194333</v>
      </c>
      <c r="AF57" s="519">
        <f t="shared" si="9"/>
        <v>0.96580645161290279</v>
      </c>
      <c r="AG57" s="616"/>
    </row>
    <row r="58" spans="1:33" ht="15.75" customHeight="1">
      <c r="A58" s="621" t="s">
        <v>71</v>
      </c>
      <c r="B58" s="27" t="s">
        <v>5</v>
      </c>
      <c r="C58" s="605" t="s">
        <v>32</v>
      </c>
      <c r="D58" s="606"/>
      <c r="E58" s="27">
        <v>55.56</v>
      </c>
      <c r="F58" s="30">
        <v>2328</v>
      </c>
      <c r="G58" s="518">
        <f t="shared" si="35"/>
        <v>129343.68000000001</v>
      </c>
      <c r="H58" s="31" t="s">
        <v>40</v>
      </c>
      <c r="I58" s="523">
        <v>17</v>
      </c>
      <c r="J58" s="29">
        <v>2000</v>
      </c>
      <c r="K58" s="12">
        <f t="shared" si="1"/>
        <v>117.64705882352941</v>
      </c>
      <c r="L58" s="523">
        <v>17</v>
      </c>
      <c r="M58" s="13">
        <f t="shared" si="39"/>
        <v>1913.4246575342449</v>
      </c>
      <c r="N58" s="13">
        <f t="shared" si="3"/>
        <v>112.55439161966147</v>
      </c>
      <c r="O58" s="14">
        <f t="shared" si="4"/>
        <v>0</v>
      </c>
      <c r="P58" s="15">
        <f t="shared" si="5"/>
        <v>-5.0926672038679328</v>
      </c>
      <c r="Q58" s="519">
        <f t="shared" si="6"/>
        <v>0.95671232876712253</v>
      </c>
      <c r="R58" s="616"/>
      <c r="S58" s="32">
        <v>0.70833333333333337</v>
      </c>
      <c r="T58" s="32">
        <v>0.75902777777777786</v>
      </c>
      <c r="U58" s="518" t="str">
        <f t="shared" si="38"/>
        <v/>
      </c>
      <c r="V58" s="524">
        <f t="shared" si="37"/>
        <v>73.000000000000057</v>
      </c>
      <c r="W58" s="16"/>
      <c r="X58" s="16"/>
      <c r="Y58" s="19"/>
      <c r="Z58" s="19"/>
      <c r="AA58" s="607"/>
      <c r="AB58" s="608"/>
      <c r="AC58" s="136"/>
      <c r="AD58" s="18"/>
      <c r="AE58" s="14">
        <f t="shared" si="8"/>
        <v>-86.575342465755057</v>
      </c>
      <c r="AF58" s="519">
        <f t="shared" si="9"/>
        <v>0.95671232876712242</v>
      </c>
      <c r="AG58" s="616"/>
    </row>
    <row r="59" spans="1:33" ht="15.75" customHeight="1">
      <c r="A59" s="621" t="s">
        <v>71</v>
      </c>
      <c r="B59" s="27" t="s">
        <v>5</v>
      </c>
      <c r="C59" s="605" t="s">
        <v>77</v>
      </c>
      <c r="D59" s="606"/>
      <c r="E59" s="27">
        <v>54.09</v>
      </c>
      <c r="F59" s="30">
        <v>714</v>
      </c>
      <c r="G59" s="518">
        <f t="shared" si="35"/>
        <v>38620.26</v>
      </c>
      <c r="H59" s="31" t="s">
        <v>40</v>
      </c>
      <c r="I59" s="523">
        <v>13</v>
      </c>
      <c r="J59" s="29">
        <v>2000</v>
      </c>
      <c r="K59" s="12">
        <f t="shared" si="1"/>
        <v>153.84615384615384</v>
      </c>
      <c r="L59" s="523">
        <v>13</v>
      </c>
      <c r="M59" s="13">
        <f t="shared" si="39"/>
        <v>1947.2727272727341</v>
      </c>
      <c r="N59" s="13">
        <f t="shared" si="3"/>
        <v>149.79020979021033</v>
      </c>
      <c r="O59" s="14">
        <f t="shared" si="4"/>
        <v>0</v>
      </c>
      <c r="P59" s="15">
        <f t="shared" si="5"/>
        <v>-4.0559440559435131</v>
      </c>
      <c r="Q59" s="519">
        <f t="shared" si="6"/>
        <v>0.97363636363636719</v>
      </c>
      <c r="R59" s="616"/>
      <c r="S59" s="32">
        <v>0.76458333333333339</v>
      </c>
      <c r="T59" s="32">
        <v>0.77986111111111112</v>
      </c>
      <c r="U59" s="518">
        <f t="shared" si="38"/>
        <v>7.9999999999999716</v>
      </c>
      <c r="V59" s="524">
        <f t="shared" si="37"/>
        <v>21.999999999999922</v>
      </c>
      <c r="W59" s="16"/>
      <c r="X59" s="16"/>
      <c r="Y59" s="19"/>
      <c r="Z59" s="19"/>
      <c r="AA59" s="607"/>
      <c r="AB59" s="608"/>
      <c r="AC59" s="136"/>
      <c r="AD59" s="18"/>
      <c r="AE59" s="14">
        <f t="shared" si="8"/>
        <v>-52.727272727265927</v>
      </c>
      <c r="AF59" s="519">
        <f t="shared" si="9"/>
        <v>0.97363636363636707</v>
      </c>
      <c r="AG59" s="616"/>
    </row>
    <row r="60" spans="1:33">
      <c r="A60" s="621" t="s">
        <v>71</v>
      </c>
      <c r="B60" s="27" t="s">
        <v>5</v>
      </c>
      <c r="C60" s="512" t="s">
        <v>62</v>
      </c>
      <c r="D60" s="513"/>
      <c r="E60" s="27">
        <v>51.06</v>
      </c>
      <c r="F60" s="30">
        <v>2866</v>
      </c>
      <c r="G60" s="518">
        <f t="shared" si="35"/>
        <v>146337.96000000002</v>
      </c>
      <c r="H60" s="31" t="s">
        <v>40</v>
      </c>
      <c r="I60" s="523">
        <v>13</v>
      </c>
      <c r="J60" s="29">
        <v>2000</v>
      </c>
      <c r="K60" s="12">
        <f t="shared" si="1"/>
        <v>153.84615384615384</v>
      </c>
      <c r="L60" s="523">
        <v>13</v>
      </c>
      <c r="M60" s="13">
        <f t="shared" si="39"/>
        <v>1910.6666666666667</v>
      </c>
      <c r="N60" s="13">
        <f t="shared" si="3"/>
        <v>146.97435897435898</v>
      </c>
      <c r="O60" s="14">
        <f t="shared" si="4"/>
        <v>0</v>
      </c>
      <c r="P60" s="15">
        <f t="shared" si="5"/>
        <v>-6.8717948717948616</v>
      </c>
      <c r="Q60" s="519">
        <f t="shared" si="6"/>
        <v>0.95533333333333337</v>
      </c>
      <c r="R60" s="616"/>
      <c r="S60" s="32">
        <v>0.78541666666666665</v>
      </c>
      <c r="T60" s="32">
        <v>0.84791666666666665</v>
      </c>
      <c r="U60" s="518">
        <f t="shared" si="38"/>
        <v>7.9999999999999716</v>
      </c>
      <c r="V60" s="524">
        <f t="shared" si="37"/>
        <v>90</v>
      </c>
      <c r="W60" s="16"/>
      <c r="X60" s="16"/>
      <c r="Y60" s="19"/>
      <c r="Z60" s="19"/>
      <c r="AA60" s="514"/>
      <c r="AB60" s="515"/>
      <c r="AC60" s="136"/>
      <c r="AD60" s="18"/>
      <c r="AE60" s="14">
        <f t="shared" si="8"/>
        <v>-89.333333333333258</v>
      </c>
      <c r="AF60" s="519">
        <f t="shared" si="9"/>
        <v>0.95533333333333337</v>
      </c>
      <c r="AG60" s="616"/>
    </row>
    <row r="61" spans="1:33">
      <c r="A61" s="622" t="s">
        <v>71</v>
      </c>
      <c r="B61" s="27" t="s">
        <v>174</v>
      </c>
      <c r="C61" s="609"/>
      <c r="D61" s="610"/>
      <c r="E61" s="520"/>
      <c r="F61" s="28"/>
      <c r="G61" s="12"/>
      <c r="H61" s="525"/>
      <c r="I61" s="21">
        <v>17.777777777777779</v>
      </c>
      <c r="J61" s="29">
        <v>2000</v>
      </c>
      <c r="K61" s="12">
        <f t="shared" si="1"/>
        <v>112.5</v>
      </c>
      <c r="L61" s="21">
        <v>17.777777777777779</v>
      </c>
      <c r="M61" s="13">
        <f>AVERAGE(M52:M60)</f>
        <v>1922.8199499806242</v>
      </c>
      <c r="N61" s="12">
        <f t="shared" si="3"/>
        <v>108.1586221864101</v>
      </c>
      <c r="O61" s="14">
        <f t="shared" si="4"/>
        <v>0</v>
      </c>
      <c r="P61" s="15">
        <f t="shared" si="5"/>
        <v>-4.3413778135899008</v>
      </c>
      <c r="Q61" s="519">
        <f t="shared" si="6"/>
        <v>0.961409974990312</v>
      </c>
      <c r="R61" s="616"/>
      <c r="S61" s="32"/>
      <c r="T61" s="32"/>
      <c r="U61" s="518"/>
      <c r="V61" s="524"/>
      <c r="W61" s="12"/>
      <c r="X61" s="12"/>
      <c r="Y61" s="22">
        <f>SUM(Y52:Y60)</f>
        <v>0</v>
      </c>
      <c r="Z61" s="22">
        <f>SUM(Z52:Z60)</f>
        <v>0</v>
      </c>
      <c r="AA61" s="611"/>
      <c r="AB61" s="611"/>
      <c r="AC61" s="22">
        <v>9</v>
      </c>
      <c r="AD61" s="22">
        <f>SUM(AD52:AD60)</f>
        <v>0</v>
      </c>
      <c r="AE61" s="14">
        <f>M61-J61</f>
        <v>-77.180050019375813</v>
      </c>
      <c r="AF61" s="519">
        <f t="shared" si="9"/>
        <v>0.96140997499031211</v>
      </c>
      <c r="AG61" s="616"/>
    </row>
    <row r="62" spans="1:33" ht="15.75" customHeight="1">
      <c r="A62" s="617" t="s">
        <v>2670</v>
      </c>
      <c r="B62" s="525" t="s">
        <v>27</v>
      </c>
      <c r="C62" s="605" t="s">
        <v>28</v>
      </c>
      <c r="D62" s="606"/>
      <c r="E62" s="27">
        <v>35.119999999999997</v>
      </c>
      <c r="F62" s="30">
        <v>4054</v>
      </c>
      <c r="G62" s="518">
        <f t="shared" ref="G62:G65" si="40">E62*F62</f>
        <v>142376.47999999998</v>
      </c>
      <c r="H62" s="31" t="s">
        <v>40</v>
      </c>
      <c r="I62" s="523">
        <v>10</v>
      </c>
      <c r="J62" s="29">
        <v>3000</v>
      </c>
      <c r="K62" s="12">
        <f t="shared" si="1"/>
        <v>300</v>
      </c>
      <c r="L62" s="523">
        <v>10</v>
      </c>
      <c r="M62" s="13">
        <f t="shared" ref="M62:M65" si="41">F62/V62*60</f>
        <v>2861.6470588235302</v>
      </c>
      <c r="N62" s="12">
        <f t="shared" si="3"/>
        <v>286.16470588235302</v>
      </c>
      <c r="O62" s="14">
        <f t="shared" si="4"/>
        <v>0</v>
      </c>
      <c r="P62" s="15">
        <f t="shared" si="5"/>
        <v>-13.835294117646981</v>
      </c>
      <c r="Q62" s="519">
        <f t="shared" si="6"/>
        <v>0.95388235294117674</v>
      </c>
      <c r="R62" s="616">
        <f>Q66</f>
        <v>0.95999640283494025</v>
      </c>
      <c r="S62" s="32">
        <v>0.20833333333333334</v>
      </c>
      <c r="T62" s="32">
        <v>0.2673611111111111</v>
      </c>
      <c r="U62" s="518"/>
      <c r="V62" s="524">
        <f t="shared" ref="V62:V65" si="42">(T62-S62)*24*60</f>
        <v>84.999999999999972</v>
      </c>
      <c r="W62" s="16"/>
      <c r="X62" s="16"/>
      <c r="Y62" s="20"/>
      <c r="Z62" s="20"/>
      <c r="AA62" s="612"/>
      <c r="AB62" s="612"/>
      <c r="AC62" s="136">
        <v>4</v>
      </c>
      <c r="AD62" s="18"/>
      <c r="AE62" s="14">
        <f t="shared" ref="AE62:AE76" si="43">M62-J62</f>
        <v>-138.35294117646981</v>
      </c>
      <c r="AF62" s="519">
        <f t="shared" si="9"/>
        <v>0.95388235294117674</v>
      </c>
      <c r="AG62" s="616">
        <f>AF66</f>
        <v>0.95999640283494025</v>
      </c>
    </row>
    <row r="63" spans="1:33" ht="15.75" customHeight="1">
      <c r="A63" s="617" t="s">
        <v>2670</v>
      </c>
      <c r="B63" s="525" t="s">
        <v>27</v>
      </c>
      <c r="C63" s="605" t="s">
        <v>34</v>
      </c>
      <c r="D63" s="606"/>
      <c r="E63" s="27">
        <v>26.78</v>
      </c>
      <c r="F63" s="30">
        <v>2423</v>
      </c>
      <c r="G63" s="518">
        <f t="shared" si="40"/>
        <v>64887.94</v>
      </c>
      <c r="H63" s="31" t="s">
        <v>40</v>
      </c>
      <c r="I63" s="523">
        <v>10</v>
      </c>
      <c r="J63" s="29">
        <v>3000</v>
      </c>
      <c r="K63" s="12">
        <f t="shared" si="1"/>
        <v>300</v>
      </c>
      <c r="L63" s="523">
        <v>10</v>
      </c>
      <c r="M63" s="13">
        <f t="shared" si="41"/>
        <v>2907.6000000000008</v>
      </c>
      <c r="N63" s="12">
        <f t="shared" si="3"/>
        <v>290.7600000000001</v>
      </c>
      <c r="O63" s="14">
        <f t="shared" si="4"/>
        <v>0</v>
      </c>
      <c r="P63" s="15">
        <f t="shared" si="5"/>
        <v>-9.2399999999998954</v>
      </c>
      <c r="Q63" s="519">
        <f t="shared" si="6"/>
        <v>0.96920000000000039</v>
      </c>
      <c r="R63" s="616"/>
      <c r="S63" s="32">
        <v>0.27291666666666664</v>
      </c>
      <c r="T63" s="32">
        <v>0.30763888888888885</v>
      </c>
      <c r="U63" s="518">
        <f t="shared" ref="U63:U65" si="44">(S63-T62)*24*60</f>
        <v>7.9999999999999716</v>
      </c>
      <c r="V63" s="524">
        <f t="shared" si="42"/>
        <v>49.999999999999986</v>
      </c>
      <c r="W63" s="518"/>
      <c r="X63" s="518"/>
      <c r="Y63" s="518"/>
      <c r="Z63" s="518"/>
      <c r="AA63" s="612"/>
      <c r="AB63" s="612"/>
      <c r="AC63" s="136"/>
      <c r="AD63" s="18"/>
      <c r="AE63" s="14">
        <f t="shared" si="43"/>
        <v>-92.399999999999181</v>
      </c>
      <c r="AF63" s="519">
        <f t="shared" si="9"/>
        <v>0.96920000000000028</v>
      </c>
      <c r="AG63" s="616"/>
    </row>
    <row r="64" spans="1:33" ht="15.75" customHeight="1">
      <c r="A64" s="617" t="s">
        <v>2670</v>
      </c>
      <c r="B64" s="525" t="s">
        <v>27</v>
      </c>
      <c r="C64" s="605" t="s">
        <v>737</v>
      </c>
      <c r="D64" s="606"/>
      <c r="E64" s="27">
        <v>36.14</v>
      </c>
      <c r="F64" s="30">
        <v>1772</v>
      </c>
      <c r="G64" s="518">
        <f t="shared" si="40"/>
        <v>64040.08</v>
      </c>
      <c r="H64" s="31" t="s">
        <v>40</v>
      </c>
      <c r="I64" s="523">
        <v>11</v>
      </c>
      <c r="J64" s="29">
        <v>3000</v>
      </c>
      <c r="K64" s="12">
        <f t="shared" si="1"/>
        <v>272.72727272727275</v>
      </c>
      <c r="L64" s="523">
        <v>11</v>
      </c>
      <c r="M64" s="13">
        <f t="shared" si="41"/>
        <v>2873.513513513511</v>
      </c>
      <c r="N64" s="12">
        <f t="shared" si="3"/>
        <v>261.22850122850099</v>
      </c>
      <c r="O64" s="14">
        <f t="shared" si="4"/>
        <v>0</v>
      </c>
      <c r="P64" s="15">
        <f t="shared" si="5"/>
        <v>-11.49877149877176</v>
      </c>
      <c r="Q64" s="519">
        <f t="shared" si="6"/>
        <v>0.95783783783783694</v>
      </c>
      <c r="R64" s="616"/>
      <c r="S64" s="32">
        <v>0.3118055555555555</v>
      </c>
      <c r="T64" s="32">
        <v>0.33749999999999997</v>
      </c>
      <c r="U64" s="518">
        <f t="shared" si="44"/>
        <v>5.9999999999999787</v>
      </c>
      <c r="V64" s="524">
        <f t="shared" si="42"/>
        <v>37.000000000000028</v>
      </c>
      <c r="W64" s="518"/>
      <c r="X64" s="518"/>
      <c r="Y64" s="518"/>
      <c r="Z64" s="518"/>
      <c r="AA64" s="612"/>
      <c r="AB64" s="612"/>
      <c r="AC64" s="136"/>
      <c r="AD64" s="18"/>
      <c r="AE64" s="14">
        <f t="shared" si="43"/>
        <v>-126.48648648648896</v>
      </c>
      <c r="AF64" s="519">
        <f t="shared" si="9"/>
        <v>0.95783783783783705</v>
      </c>
      <c r="AG64" s="616"/>
    </row>
    <row r="65" spans="1:33" ht="15.75" customHeight="1">
      <c r="A65" s="617" t="s">
        <v>2670</v>
      </c>
      <c r="B65" s="525" t="s">
        <v>27</v>
      </c>
      <c r="C65" s="605" t="s">
        <v>2493</v>
      </c>
      <c r="D65" s="606"/>
      <c r="E65" s="27">
        <v>35.869999999999997</v>
      </c>
      <c r="F65" s="30">
        <v>5131</v>
      </c>
      <c r="G65" s="518">
        <f t="shared" si="40"/>
        <v>184048.97</v>
      </c>
      <c r="H65" s="31" t="s">
        <v>40</v>
      </c>
      <c r="I65" s="523">
        <v>10</v>
      </c>
      <c r="J65" s="29">
        <v>3000</v>
      </c>
      <c r="K65" s="12">
        <f t="shared" si="1"/>
        <v>300</v>
      </c>
      <c r="L65" s="523">
        <v>10</v>
      </c>
      <c r="M65" s="13">
        <f t="shared" si="41"/>
        <v>2877.1962616822425</v>
      </c>
      <c r="N65" s="12">
        <f t="shared" si="3"/>
        <v>287.71962616822424</v>
      </c>
      <c r="O65" s="14">
        <f t="shared" si="4"/>
        <v>0</v>
      </c>
      <c r="P65" s="15">
        <f t="shared" si="5"/>
        <v>-12.280373831775762</v>
      </c>
      <c r="Q65" s="519">
        <f t="shared" si="6"/>
        <v>0.95906542056074751</v>
      </c>
      <c r="R65" s="616"/>
      <c r="S65" s="32">
        <v>0.34097222222222218</v>
      </c>
      <c r="T65" s="32">
        <v>0.41527777777777775</v>
      </c>
      <c r="U65" s="518">
        <f t="shared" si="44"/>
        <v>4.9999999999999822</v>
      </c>
      <c r="V65" s="524">
        <f t="shared" si="42"/>
        <v>107.00000000000001</v>
      </c>
      <c r="W65" s="518"/>
      <c r="X65" s="518"/>
      <c r="Y65" s="518"/>
      <c r="Z65" s="518"/>
      <c r="AA65" s="612"/>
      <c r="AB65" s="612"/>
      <c r="AC65" s="136"/>
      <c r="AD65" s="18"/>
      <c r="AE65" s="14">
        <f t="shared" si="43"/>
        <v>-122.80373831775751</v>
      </c>
      <c r="AF65" s="519">
        <f t="shared" si="9"/>
        <v>0.95906542056074751</v>
      </c>
      <c r="AG65" s="616"/>
    </row>
    <row r="66" spans="1:33">
      <c r="A66" s="618" t="s">
        <v>2670</v>
      </c>
      <c r="B66" s="27" t="s">
        <v>2671</v>
      </c>
      <c r="C66" s="609"/>
      <c r="D66" s="610"/>
      <c r="E66" s="520"/>
      <c r="F66" s="28"/>
      <c r="G66" s="12"/>
      <c r="H66" s="525"/>
      <c r="I66" s="21">
        <v>10.25</v>
      </c>
      <c r="J66" s="29">
        <v>3000</v>
      </c>
      <c r="K66" s="12">
        <f t="shared" si="1"/>
        <v>292.6829268292683</v>
      </c>
      <c r="L66" s="21">
        <v>10.25</v>
      </c>
      <c r="M66" s="13">
        <f>AVERAGE(M62:M65)</f>
        <v>2879.9892085048209</v>
      </c>
      <c r="N66" s="12">
        <f t="shared" si="3"/>
        <v>280.9745569272996</v>
      </c>
      <c r="O66" s="14">
        <f t="shared" si="4"/>
        <v>0</v>
      </c>
      <c r="P66" s="15">
        <f t="shared" si="5"/>
        <v>-11.708369901968695</v>
      </c>
      <c r="Q66" s="519">
        <f t="shared" si="6"/>
        <v>0.95999640283494025</v>
      </c>
      <c r="R66" s="616"/>
      <c r="S66" s="32"/>
      <c r="T66" s="32"/>
      <c r="U66" s="12"/>
      <c r="V66" s="524"/>
      <c r="W66" s="12"/>
      <c r="X66" s="12"/>
      <c r="Y66" s="22">
        <f>SUM(Y62:Y65)</f>
        <v>0</v>
      </c>
      <c r="Z66" s="22">
        <f>SUM(Z62:Z65)</f>
        <v>0</v>
      </c>
      <c r="AA66" s="611"/>
      <c r="AB66" s="611"/>
      <c r="AC66" s="22">
        <v>4</v>
      </c>
      <c r="AD66" s="22">
        <f>SUM(AD62:AD65)</f>
        <v>0</v>
      </c>
      <c r="AE66" s="14">
        <f t="shared" si="43"/>
        <v>-120.01079149517909</v>
      </c>
      <c r="AF66" s="519">
        <f t="shared" si="9"/>
        <v>0.95999640283494025</v>
      </c>
      <c r="AG66" s="616"/>
    </row>
    <row r="67" spans="1:33" ht="15.75" customHeight="1">
      <c r="A67" s="613" t="s">
        <v>286</v>
      </c>
      <c r="B67" s="525" t="s">
        <v>20</v>
      </c>
      <c r="C67" s="605" t="s">
        <v>39</v>
      </c>
      <c r="D67" s="606"/>
      <c r="E67" s="27">
        <v>19.02</v>
      </c>
      <c r="F67" s="525">
        <v>4700</v>
      </c>
      <c r="G67" s="518">
        <f t="shared" ref="G67:G75" si="45">E67*F67</f>
        <v>89394</v>
      </c>
      <c r="H67" s="31">
        <v>2</v>
      </c>
      <c r="I67" s="523">
        <v>14</v>
      </c>
      <c r="J67" s="29">
        <v>2400</v>
      </c>
      <c r="K67" s="12">
        <f t="shared" si="1"/>
        <v>171.42857142857142</v>
      </c>
      <c r="L67" s="523">
        <v>14</v>
      </c>
      <c r="M67" s="13">
        <f t="shared" ref="M67:M75" si="46">F67/V67*60</f>
        <v>2292.6829268292686</v>
      </c>
      <c r="N67" s="12">
        <f t="shared" si="3"/>
        <v>163.76306620209061</v>
      </c>
      <c r="O67" s="14">
        <f t="shared" si="4"/>
        <v>0</v>
      </c>
      <c r="P67" s="15">
        <f t="shared" si="5"/>
        <v>-7.6655052264808035</v>
      </c>
      <c r="Q67" s="519">
        <f t="shared" si="6"/>
        <v>0.9552845528455286</v>
      </c>
      <c r="R67" s="616">
        <f>Q76</f>
        <v>0.95799148609295293</v>
      </c>
      <c r="S67" s="32">
        <v>8.3333333333333329E-2</v>
      </c>
      <c r="T67" s="32">
        <v>0.16874999999999998</v>
      </c>
      <c r="U67" s="20"/>
      <c r="V67" s="524">
        <f t="shared" ref="V67:V75" si="47">(T67-S67)*24*60</f>
        <v>122.99999999999999</v>
      </c>
      <c r="W67" s="16">
        <f>T67</f>
        <v>0.16874999999999998</v>
      </c>
      <c r="X67" s="16">
        <f>S68</f>
        <v>0.18958333333333333</v>
      </c>
      <c r="Y67" s="16"/>
      <c r="Z67" s="16"/>
      <c r="AA67" s="612"/>
      <c r="AB67" s="612"/>
      <c r="AC67" s="136">
        <v>9</v>
      </c>
      <c r="AD67" s="18"/>
      <c r="AE67" s="14">
        <f t="shared" si="43"/>
        <v>-107.31707317073142</v>
      </c>
      <c r="AF67" s="519">
        <f t="shared" si="9"/>
        <v>0.9552845528455286</v>
      </c>
      <c r="AG67" s="616">
        <f>AF76</f>
        <v>0.95799148609295282</v>
      </c>
    </row>
    <row r="68" spans="1:33" ht="15.75" customHeight="1">
      <c r="A68" s="614" t="s">
        <v>2672</v>
      </c>
      <c r="B68" s="525" t="s">
        <v>20</v>
      </c>
      <c r="C68" s="605" t="s">
        <v>24</v>
      </c>
      <c r="D68" s="606"/>
      <c r="E68" s="27">
        <v>20.36</v>
      </c>
      <c r="F68" s="525">
        <v>4118</v>
      </c>
      <c r="G68" s="518">
        <f t="shared" si="45"/>
        <v>83842.48</v>
      </c>
      <c r="H68" s="31" t="s">
        <v>40</v>
      </c>
      <c r="I68" s="523">
        <v>17</v>
      </c>
      <c r="J68" s="29">
        <v>2400</v>
      </c>
      <c r="K68" s="12">
        <f t="shared" si="1"/>
        <v>141.1764705882353</v>
      </c>
      <c r="L68" s="523">
        <v>17</v>
      </c>
      <c r="M68" s="13">
        <f t="shared" si="46"/>
        <v>2287.7777777777774</v>
      </c>
      <c r="N68" s="12">
        <f t="shared" si="3"/>
        <v>134.57516339869278</v>
      </c>
      <c r="O68" s="14">
        <f t="shared" si="4"/>
        <v>0</v>
      </c>
      <c r="P68" s="15">
        <f t="shared" si="5"/>
        <v>-6.6013071895425242</v>
      </c>
      <c r="Q68" s="519">
        <f t="shared" si="6"/>
        <v>0.9532407407407405</v>
      </c>
      <c r="R68" s="616"/>
      <c r="S68" s="32">
        <v>0.18958333333333333</v>
      </c>
      <c r="T68" s="32">
        <v>0.26458333333333334</v>
      </c>
      <c r="U68" s="518">
        <f t="shared" ref="U68:U75" si="48">(S68-T67)*24*60</f>
        <v>30.000000000000014</v>
      </c>
      <c r="V68" s="524">
        <f t="shared" si="47"/>
        <v>108.00000000000001</v>
      </c>
      <c r="W68" s="16"/>
      <c r="X68" s="16"/>
      <c r="Y68" s="16"/>
      <c r="Z68" s="16"/>
      <c r="AA68" s="612"/>
      <c r="AB68" s="612"/>
      <c r="AC68" s="136"/>
      <c r="AD68" s="18"/>
      <c r="AE68" s="14">
        <f t="shared" si="43"/>
        <v>-112.22222222222263</v>
      </c>
      <c r="AF68" s="519">
        <f t="shared" si="9"/>
        <v>0.95324074074074061</v>
      </c>
      <c r="AG68" s="616"/>
    </row>
    <row r="69" spans="1:33" ht="15.75" customHeight="1">
      <c r="A69" s="614" t="s">
        <v>2673</v>
      </c>
      <c r="B69" s="525" t="s">
        <v>20</v>
      </c>
      <c r="C69" s="605" t="s">
        <v>80</v>
      </c>
      <c r="D69" s="606"/>
      <c r="E69" s="27">
        <v>25.98</v>
      </c>
      <c r="F69" s="525">
        <v>1700</v>
      </c>
      <c r="G69" s="518">
        <f t="shared" si="45"/>
        <v>44166</v>
      </c>
      <c r="H69" s="31">
        <v>2</v>
      </c>
      <c r="I69" s="523">
        <v>17</v>
      </c>
      <c r="J69" s="29">
        <v>2400</v>
      </c>
      <c r="K69" s="12">
        <f t="shared" ref="K69:K76" si="49">J69/I69</f>
        <v>141.1764705882353</v>
      </c>
      <c r="L69" s="523">
        <v>17</v>
      </c>
      <c r="M69" s="13">
        <f t="shared" si="46"/>
        <v>2318.181818181818</v>
      </c>
      <c r="N69" s="12">
        <f t="shared" ref="N69:N76" si="50">M69/L69</f>
        <v>136.36363636363635</v>
      </c>
      <c r="O69" s="14">
        <f t="shared" ref="O69:O76" si="51">L69-I69</f>
        <v>0</v>
      </c>
      <c r="P69" s="15">
        <f t="shared" ref="P69:P76" si="52">N69-K69</f>
        <v>-4.8128342245989586</v>
      </c>
      <c r="Q69" s="519">
        <f t="shared" ref="Q69:Q76" si="53">N69/K69</f>
        <v>0.96590909090909072</v>
      </c>
      <c r="R69" s="616"/>
      <c r="S69" s="32">
        <v>0.27013888888888887</v>
      </c>
      <c r="T69" s="32">
        <v>0.30069444444444443</v>
      </c>
      <c r="U69" s="518">
        <f t="shared" si="48"/>
        <v>7.9999999999999716</v>
      </c>
      <c r="V69" s="524">
        <f t="shared" si="47"/>
        <v>44</v>
      </c>
      <c r="W69" s="16"/>
      <c r="X69" s="16"/>
      <c r="Y69" s="16"/>
      <c r="Z69" s="16"/>
      <c r="AA69" s="612"/>
      <c r="AB69" s="612"/>
      <c r="AC69" s="136"/>
      <c r="AD69" s="18"/>
      <c r="AE69" s="14">
        <f t="shared" si="43"/>
        <v>-81.818181818181984</v>
      </c>
      <c r="AF69" s="519">
        <f t="shared" ref="AF69:AF76" si="54">M69/J69</f>
        <v>0.96590909090909083</v>
      </c>
      <c r="AG69" s="616"/>
    </row>
    <row r="70" spans="1:33" ht="15.75" customHeight="1">
      <c r="A70" s="614" t="s">
        <v>286</v>
      </c>
      <c r="B70" s="525" t="s">
        <v>20</v>
      </c>
      <c r="C70" s="605" t="s">
        <v>739</v>
      </c>
      <c r="D70" s="606"/>
      <c r="E70" s="27">
        <v>28.29</v>
      </c>
      <c r="F70" s="525">
        <v>4404</v>
      </c>
      <c r="G70" s="518">
        <f t="shared" si="45"/>
        <v>124589.16</v>
      </c>
      <c r="H70" s="31" t="s">
        <v>40</v>
      </c>
      <c r="I70" s="523">
        <v>21</v>
      </c>
      <c r="J70" s="29">
        <v>2400</v>
      </c>
      <c r="K70" s="12">
        <f t="shared" si="49"/>
        <v>114.28571428571429</v>
      </c>
      <c r="L70" s="523">
        <v>21</v>
      </c>
      <c r="M70" s="13">
        <f t="shared" si="46"/>
        <v>2297.739130434783</v>
      </c>
      <c r="N70" s="12">
        <f t="shared" si="50"/>
        <v>109.41614906832299</v>
      </c>
      <c r="O70" s="14">
        <f t="shared" si="51"/>
        <v>0</v>
      </c>
      <c r="P70" s="15">
        <f t="shared" si="52"/>
        <v>-4.8695652173912976</v>
      </c>
      <c r="Q70" s="519">
        <f t="shared" si="53"/>
        <v>0.95739130434782616</v>
      </c>
      <c r="R70" s="616"/>
      <c r="S70" s="32">
        <v>0.30486111111111108</v>
      </c>
      <c r="T70" s="32">
        <v>0.38472222222222219</v>
      </c>
      <c r="U70" s="518">
        <f t="shared" si="48"/>
        <v>5.9999999999999787</v>
      </c>
      <c r="V70" s="524">
        <f t="shared" si="47"/>
        <v>114.99999999999999</v>
      </c>
      <c r="W70" s="16"/>
      <c r="X70" s="16"/>
      <c r="Y70" s="16"/>
      <c r="Z70" s="16"/>
      <c r="AA70" s="612"/>
      <c r="AB70" s="612"/>
      <c r="AC70" s="136"/>
      <c r="AD70" s="18"/>
      <c r="AE70" s="14">
        <f t="shared" si="43"/>
        <v>-102.26086956521704</v>
      </c>
      <c r="AF70" s="519">
        <f t="shared" si="54"/>
        <v>0.95739130434782627</v>
      </c>
      <c r="AG70" s="616"/>
    </row>
    <row r="71" spans="1:33" ht="15.75" customHeight="1">
      <c r="A71" s="614" t="s">
        <v>2674</v>
      </c>
      <c r="B71" s="525" t="s">
        <v>20</v>
      </c>
      <c r="C71" s="605" t="s">
        <v>1420</v>
      </c>
      <c r="D71" s="606"/>
      <c r="E71" s="27">
        <v>24.25</v>
      </c>
      <c r="F71" s="525">
        <v>3000</v>
      </c>
      <c r="G71" s="518">
        <f t="shared" si="45"/>
        <v>72750</v>
      </c>
      <c r="H71" s="31">
        <v>2</v>
      </c>
      <c r="I71" s="523">
        <v>17</v>
      </c>
      <c r="J71" s="29">
        <v>2400</v>
      </c>
      <c r="K71" s="12">
        <f t="shared" si="49"/>
        <v>141.1764705882353</v>
      </c>
      <c r="L71" s="523">
        <v>17</v>
      </c>
      <c r="M71" s="13">
        <f t="shared" si="46"/>
        <v>2307.6923076923063</v>
      </c>
      <c r="N71" s="12">
        <f t="shared" si="50"/>
        <v>135.74660633484154</v>
      </c>
      <c r="O71" s="14">
        <f t="shared" si="51"/>
        <v>0</v>
      </c>
      <c r="P71" s="15">
        <f t="shared" si="52"/>
        <v>-5.4298642533937596</v>
      </c>
      <c r="Q71" s="519">
        <f t="shared" si="53"/>
        <v>0.9615384615384609</v>
      </c>
      <c r="R71" s="616"/>
      <c r="S71" s="32">
        <v>0.38958333333333328</v>
      </c>
      <c r="T71" s="32">
        <v>0.44374999999999998</v>
      </c>
      <c r="U71" s="518">
        <f t="shared" si="48"/>
        <v>6.9999999999999751</v>
      </c>
      <c r="V71" s="524">
        <f t="shared" si="47"/>
        <v>78.000000000000043</v>
      </c>
      <c r="W71" s="16"/>
      <c r="X71" s="16"/>
      <c r="Y71" s="16"/>
      <c r="Z71" s="16"/>
      <c r="AA71" s="612"/>
      <c r="AB71" s="612"/>
      <c r="AC71" s="136"/>
      <c r="AD71" s="18"/>
      <c r="AE71" s="14">
        <f t="shared" si="43"/>
        <v>-92.307692307693742</v>
      </c>
      <c r="AF71" s="519">
        <f t="shared" si="54"/>
        <v>0.9615384615384609</v>
      </c>
      <c r="AG71" s="616"/>
    </row>
    <row r="72" spans="1:33" ht="15.75" customHeight="1">
      <c r="A72" s="614" t="s">
        <v>2675</v>
      </c>
      <c r="B72" s="525" t="s">
        <v>20</v>
      </c>
      <c r="C72" s="605" t="s">
        <v>2494</v>
      </c>
      <c r="D72" s="606"/>
      <c r="E72" s="27">
        <v>23.89</v>
      </c>
      <c r="F72" s="525">
        <v>3000</v>
      </c>
      <c r="G72" s="518">
        <f t="shared" si="45"/>
        <v>71670</v>
      </c>
      <c r="H72" s="31">
        <v>2</v>
      </c>
      <c r="I72" s="523">
        <v>13</v>
      </c>
      <c r="J72" s="29">
        <v>2400</v>
      </c>
      <c r="K72" s="12">
        <f t="shared" si="49"/>
        <v>184.61538461538461</v>
      </c>
      <c r="L72" s="523">
        <v>13</v>
      </c>
      <c r="M72" s="13">
        <f t="shared" si="46"/>
        <v>2307.6923076923063</v>
      </c>
      <c r="N72" s="12">
        <f t="shared" si="50"/>
        <v>177.51479289940818</v>
      </c>
      <c r="O72" s="14">
        <f t="shared" si="51"/>
        <v>0</v>
      </c>
      <c r="P72" s="15">
        <f t="shared" si="52"/>
        <v>-7.1005917159764351</v>
      </c>
      <c r="Q72" s="519">
        <f t="shared" si="53"/>
        <v>0.96153846153846101</v>
      </c>
      <c r="R72" s="616"/>
      <c r="S72" s="32">
        <v>0.44722222222222219</v>
      </c>
      <c r="T72" s="32">
        <v>0.50138888888888888</v>
      </c>
      <c r="U72" s="518">
        <f t="shared" si="48"/>
        <v>4.9999999999999822</v>
      </c>
      <c r="V72" s="524">
        <f t="shared" si="47"/>
        <v>78.000000000000043</v>
      </c>
      <c r="W72" s="16">
        <f>T72</f>
        <v>0.50138888888888888</v>
      </c>
      <c r="X72" s="16">
        <f>S73</f>
        <v>0.54305555555555551</v>
      </c>
      <c r="Y72" s="16"/>
      <c r="Z72" s="16"/>
      <c r="AA72" s="612"/>
      <c r="AB72" s="612"/>
      <c r="AC72" s="136"/>
      <c r="AD72" s="18"/>
      <c r="AE72" s="14">
        <f t="shared" si="43"/>
        <v>-92.307692307693742</v>
      </c>
      <c r="AF72" s="519">
        <f t="shared" si="54"/>
        <v>0.9615384615384609</v>
      </c>
      <c r="AG72" s="616"/>
    </row>
    <row r="73" spans="1:33" ht="15.75" customHeight="1">
      <c r="A73" s="614" t="s">
        <v>2672</v>
      </c>
      <c r="B73" s="525" t="s">
        <v>20</v>
      </c>
      <c r="C73" s="605" t="s">
        <v>2494</v>
      </c>
      <c r="D73" s="606"/>
      <c r="E73" s="27">
        <v>23.89</v>
      </c>
      <c r="F73" s="525">
        <v>4160</v>
      </c>
      <c r="G73" s="518">
        <f t="shared" si="45"/>
        <v>99382.400000000009</v>
      </c>
      <c r="H73" s="31" t="s">
        <v>40</v>
      </c>
      <c r="I73" s="523">
        <v>13</v>
      </c>
      <c r="J73" s="29">
        <v>2400</v>
      </c>
      <c r="K73" s="12">
        <f t="shared" si="49"/>
        <v>184.61538461538461</v>
      </c>
      <c r="L73" s="523">
        <v>13</v>
      </c>
      <c r="M73" s="13">
        <f t="shared" si="46"/>
        <v>2289.9082568807357</v>
      </c>
      <c r="N73" s="12">
        <f t="shared" si="50"/>
        <v>176.14678899082583</v>
      </c>
      <c r="O73" s="14">
        <f t="shared" si="51"/>
        <v>0</v>
      </c>
      <c r="P73" s="15">
        <f t="shared" si="52"/>
        <v>-8.4685956245587874</v>
      </c>
      <c r="Q73" s="519">
        <f t="shared" si="53"/>
        <v>0.9541284403669732</v>
      </c>
      <c r="R73" s="616"/>
      <c r="S73" s="32">
        <v>0.54305555555555551</v>
      </c>
      <c r="T73" s="32">
        <v>0.61874999999999991</v>
      </c>
      <c r="U73" s="518">
        <f t="shared" si="48"/>
        <v>59.999999999999943</v>
      </c>
      <c r="V73" s="524">
        <f t="shared" si="47"/>
        <v>108.99999999999993</v>
      </c>
      <c r="W73" s="16"/>
      <c r="X73" s="16"/>
      <c r="Y73" s="19"/>
      <c r="Z73" s="19"/>
      <c r="AA73" s="607"/>
      <c r="AB73" s="608"/>
      <c r="AC73" s="136"/>
      <c r="AD73" s="18"/>
      <c r="AE73" s="14">
        <f t="shared" si="43"/>
        <v>-110.09174311926427</v>
      </c>
      <c r="AF73" s="519">
        <f t="shared" si="54"/>
        <v>0.9541284403669732</v>
      </c>
      <c r="AG73" s="616"/>
    </row>
    <row r="74" spans="1:33" ht="15.75" customHeight="1">
      <c r="A74" s="614" t="s">
        <v>2676</v>
      </c>
      <c r="B74" s="525" t="s">
        <v>20</v>
      </c>
      <c r="C74" s="605" t="s">
        <v>1420</v>
      </c>
      <c r="D74" s="606"/>
      <c r="E74" s="27">
        <v>24.25</v>
      </c>
      <c r="F74" s="525">
        <v>2175</v>
      </c>
      <c r="G74" s="518">
        <f t="shared" si="45"/>
        <v>52743.75</v>
      </c>
      <c r="H74" s="31" t="s">
        <v>40</v>
      </c>
      <c r="I74" s="523">
        <v>17</v>
      </c>
      <c r="J74" s="29">
        <v>2400</v>
      </c>
      <c r="K74" s="12">
        <f t="shared" si="49"/>
        <v>141.1764705882353</v>
      </c>
      <c r="L74" s="523">
        <v>17</v>
      </c>
      <c r="M74" s="13">
        <f t="shared" si="46"/>
        <v>2289.4736842105281</v>
      </c>
      <c r="N74" s="12">
        <f t="shared" si="50"/>
        <v>134.67492260061931</v>
      </c>
      <c r="O74" s="14">
        <f t="shared" si="51"/>
        <v>0</v>
      </c>
      <c r="P74" s="15">
        <f t="shared" si="52"/>
        <v>-6.501547987615993</v>
      </c>
      <c r="Q74" s="519">
        <f t="shared" si="53"/>
        <v>0.95394736842105343</v>
      </c>
      <c r="R74" s="616"/>
      <c r="S74" s="32">
        <v>0.62361111111111101</v>
      </c>
      <c r="T74" s="32">
        <v>0.66319444444444431</v>
      </c>
      <c r="U74" s="518">
        <f t="shared" si="48"/>
        <v>6.9999999999999751</v>
      </c>
      <c r="V74" s="524">
        <f t="shared" si="47"/>
        <v>56.999999999999957</v>
      </c>
      <c r="W74" s="16"/>
      <c r="X74" s="16"/>
      <c r="Y74" s="19"/>
      <c r="Z74" s="19"/>
      <c r="AA74" s="607"/>
      <c r="AB74" s="608"/>
      <c r="AC74" s="136"/>
      <c r="AD74" s="18"/>
      <c r="AE74" s="14">
        <f t="shared" si="43"/>
        <v>-110.52631578947194</v>
      </c>
      <c r="AF74" s="519">
        <f t="shared" si="54"/>
        <v>0.95394736842105332</v>
      </c>
      <c r="AG74" s="616"/>
    </row>
    <row r="75" spans="1:33" ht="15.75" customHeight="1">
      <c r="A75" s="614" t="s">
        <v>2677</v>
      </c>
      <c r="B75" s="525" t="s">
        <v>20</v>
      </c>
      <c r="C75" s="605" t="s">
        <v>39</v>
      </c>
      <c r="D75" s="606"/>
      <c r="E75" s="27">
        <v>19.02</v>
      </c>
      <c r="F75" s="525">
        <v>4181</v>
      </c>
      <c r="G75" s="518">
        <f t="shared" si="45"/>
        <v>79522.62</v>
      </c>
      <c r="H75" s="31" t="s">
        <v>40</v>
      </c>
      <c r="I75" s="523">
        <v>14</v>
      </c>
      <c r="J75" s="29">
        <v>2400</v>
      </c>
      <c r="K75" s="12">
        <f t="shared" si="49"/>
        <v>171.42857142857142</v>
      </c>
      <c r="L75" s="523">
        <v>14</v>
      </c>
      <c r="M75" s="13">
        <f t="shared" si="46"/>
        <v>2301.4678899082583</v>
      </c>
      <c r="N75" s="12">
        <f t="shared" si="50"/>
        <v>164.39056356487558</v>
      </c>
      <c r="O75" s="14">
        <f t="shared" si="51"/>
        <v>0</v>
      </c>
      <c r="P75" s="15">
        <f t="shared" si="52"/>
        <v>-7.0380078636958388</v>
      </c>
      <c r="Q75" s="519">
        <f t="shared" si="53"/>
        <v>0.95894495412844094</v>
      </c>
      <c r="R75" s="616"/>
      <c r="S75" s="32">
        <v>0.66874999999999984</v>
      </c>
      <c r="T75" s="32">
        <v>0.74444444444444424</v>
      </c>
      <c r="U75" s="518">
        <f t="shared" si="48"/>
        <v>7.9999999999999716</v>
      </c>
      <c r="V75" s="524">
        <f t="shared" si="47"/>
        <v>108.99999999999993</v>
      </c>
      <c r="W75" s="16"/>
      <c r="X75" s="16"/>
      <c r="Y75" s="19"/>
      <c r="Z75" s="19"/>
      <c r="AA75" s="607"/>
      <c r="AB75" s="608"/>
      <c r="AC75" s="136"/>
      <c r="AD75" s="18"/>
      <c r="AE75" s="14">
        <f t="shared" si="43"/>
        <v>-98.532110091741743</v>
      </c>
      <c r="AF75" s="519">
        <f t="shared" si="54"/>
        <v>0.95894495412844094</v>
      </c>
      <c r="AG75" s="616"/>
    </row>
    <row r="76" spans="1:33" ht="16.5" customHeight="1">
      <c r="A76" s="615" t="s">
        <v>2678</v>
      </c>
      <c r="B76" s="27" t="s">
        <v>174</v>
      </c>
      <c r="C76" s="609"/>
      <c r="D76" s="610"/>
      <c r="E76" s="520"/>
      <c r="F76" s="28"/>
      <c r="G76" s="12"/>
      <c r="H76" s="525"/>
      <c r="I76" s="21">
        <v>15.888888888888889</v>
      </c>
      <c r="J76" s="29">
        <v>2400</v>
      </c>
      <c r="K76" s="12">
        <f t="shared" si="49"/>
        <v>151.04895104895104</v>
      </c>
      <c r="L76" s="21">
        <v>15.888888888888889</v>
      </c>
      <c r="M76" s="13">
        <f>AVERAGE(M67:M75)</f>
        <v>2299.1795666230869</v>
      </c>
      <c r="N76" s="12">
        <f t="shared" si="50"/>
        <v>144.7036090881663</v>
      </c>
      <c r="O76" s="14">
        <f t="shared" si="51"/>
        <v>0</v>
      </c>
      <c r="P76" s="15">
        <f t="shared" si="52"/>
        <v>-6.3453419607847366</v>
      </c>
      <c r="Q76" s="519">
        <f t="shared" si="53"/>
        <v>0.95799148609295293</v>
      </c>
      <c r="R76" s="616"/>
      <c r="S76" s="32"/>
      <c r="T76" s="32"/>
      <c r="U76" s="12"/>
      <c r="V76" s="524"/>
      <c r="W76" s="12"/>
      <c r="X76" s="12"/>
      <c r="Y76" s="22">
        <f>SUM(Y67:Y75)</f>
        <v>0</v>
      </c>
      <c r="Z76" s="22">
        <f>SUM(Z67:Z75)</f>
        <v>0</v>
      </c>
      <c r="AA76" s="611"/>
      <c r="AB76" s="611"/>
      <c r="AC76" s="22">
        <v>9</v>
      </c>
      <c r="AD76" s="22">
        <f>SUM(AD67:AD75)</f>
        <v>0</v>
      </c>
      <c r="AE76" s="14">
        <f t="shared" si="43"/>
        <v>-100.82043337691312</v>
      </c>
      <c r="AF76" s="519">
        <f t="shared" si="54"/>
        <v>0.95799148609295282</v>
      </c>
      <c r="AG76" s="616"/>
    </row>
    <row r="77" spans="1:33">
      <c r="D77" s="23"/>
      <c r="E77" s="23"/>
    </row>
  </sheetData>
  <mergeCells count="196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2:D22"/>
    <mergeCell ref="AA22:AB22"/>
    <mergeCell ref="A23:A29"/>
    <mergeCell ref="C23:D23"/>
    <mergeCell ref="R23:R29"/>
    <mergeCell ref="AA23:AB23"/>
    <mergeCell ref="AA28:AB28"/>
    <mergeCell ref="A15:A22"/>
    <mergeCell ref="C15:D15"/>
    <mergeCell ref="R15:R22"/>
    <mergeCell ref="AA15:AB15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A30:A39"/>
    <mergeCell ref="C30:D30"/>
    <mergeCell ref="R30:R39"/>
    <mergeCell ref="AA30:AB30"/>
    <mergeCell ref="AA35:AB35"/>
    <mergeCell ref="C36:D36"/>
    <mergeCell ref="AA36:AB36"/>
    <mergeCell ref="C38:D38"/>
    <mergeCell ref="AG30:AG39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39:D39"/>
    <mergeCell ref="AA39:AB39"/>
    <mergeCell ref="A40:A46"/>
    <mergeCell ref="C40:D40"/>
    <mergeCell ref="R40:R46"/>
    <mergeCell ref="AA40:AB40"/>
    <mergeCell ref="AA45:AB45"/>
    <mergeCell ref="C46:D46"/>
    <mergeCell ref="AA46:AB46"/>
    <mergeCell ref="AG47:AG51"/>
    <mergeCell ref="C48:D48"/>
    <mergeCell ref="AA48:AB48"/>
    <mergeCell ref="C49:D49"/>
    <mergeCell ref="AA49:AB49"/>
    <mergeCell ref="C50:D50"/>
    <mergeCell ref="AG40:AG46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A50:AB50"/>
    <mergeCell ref="C51:D51"/>
    <mergeCell ref="AA51:AB51"/>
    <mergeCell ref="A52:A61"/>
    <mergeCell ref="C52:D52"/>
    <mergeCell ref="R52:R61"/>
    <mergeCell ref="AA52:AB52"/>
    <mergeCell ref="AA58:AB58"/>
    <mergeCell ref="C59:D59"/>
    <mergeCell ref="AA59:AB59"/>
    <mergeCell ref="A47:A51"/>
    <mergeCell ref="C47:D47"/>
    <mergeCell ref="R47:R51"/>
    <mergeCell ref="AA47:AB47"/>
    <mergeCell ref="C61:D61"/>
    <mergeCell ref="AA61:AB61"/>
    <mergeCell ref="A62:A66"/>
    <mergeCell ref="C62:D62"/>
    <mergeCell ref="R62:R66"/>
    <mergeCell ref="AA62:AB62"/>
    <mergeCell ref="AG52:AG61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6"/>
    <mergeCell ref="C67:D67"/>
    <mergeCell ref="R67:R76"/>
    <mergeCell ref="AA67:AB67"/>
    <mergeCell ref="AG67:AG76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6 O5:O9 O14:O16 O22:O37 O39:O57">
    <cfRule type="cellIs" dxfId="2130" priority="76" operator="greaterThan">
      <formula>0</formula>
    </cfRule>
  </conditionalFormatting>
  <conditionalFormatting sqref="P5:P7 P65 AE65 P67:P72 P30:P37 P62 P9 P14:P16 P23:P28 P52:P57 P40:P50 AE5:AE62 AE67:AE76">
    <cfRule type="cellIs" dxfId="2129" priority="80" operator="lessThan">
      <formula>0</formula>
    </cfRule>
  </conditionalFormatting>
  <conditionalFormatting sqref="AF65 Q65:Q72 Q61:Q62 Q76 Q5:Q9 Q14:Q16 Q22:Q37 Q39:Q57 AF5:AF62 AF67:AF76">
    <cfRule type="cellIs" dxfId="2128" priority="77" operator="greaterThan">
      <formula>1</formula>
    </cfRule>
    <cfRule type="cellIs" dxfId="2127" priority="78" operator="lessThan">
      <formula>0.8</formula>
    </cfRule>
  </conditionalFormatting>
  <conditionalFormatting sqref="AG15:AG16 R15:R16 AG65 R65:R72 AG22:AG37 R22:R37 AG61:AG62 R61:R62 R76 AG5:AG9 R5:R9 AG39:AG57 R39:R57">
    <cfRule type="cellIs" dxfId="2126" priority="82" operator="lessThan">
      <formula>0.8</formula>
    </cfRule>
  </conditionalFormatting>
  <conditionalFormatting sqref="AG47">
    <cfRule type="cellIs" dxfId="2125" priority="84" operator="lessThan">
      <formula>0.8</formula>
    </cfRule>
  </conditionalFormatting>
  <conditionalFormatting sqref="AG23:AG28">
    <cfRule type="cellIs" dxfId="2124" priority="81" operator="lessThan">
      <formula>0.8</formula>
    </cfRule>
  </conditionalFormatting>
  <conditionalFormatting sqref="AG30">
    <cfRule type="cellIs" dxfId="2123" priority="83" operator="lessThan">
      <formula>0.8</formula>
    </cfRule>
  </conditionalFormatting>
  <conditionalFormatting sqref="AG40:AG45">
    <cfRule type="cellIs" dxfId="2122" priority="79" operator="lessThan">
      <formula>0.8</formula>
    </cfRule>
  </conditionalFormatting>
  <conditionalFormatting sqref="AE66">
    <cfRule type="cellIs" dxfId="2121" priority="75" operator="lessThan">
      <formula>0</formula>
    </cfRule>
  </conditionalFormatting>
  <conditionalFormatting sqref="AF66">
    <cfRule type="cellIs" dxfId="2120" priority="73" operator="greaterThan">
      <formula>1</formula>
    </cfRule>
    <cfRule type="cellIs" dxfId="2119" priority="74" operator="lessThan">
      <formula>0.8</formula>
    </cfRule>
  </conditionalFormatting>
  <conditionalFormatting sqref="O17:O18">
    <cfRule type="cellIs" dxfId="2118" priority="68" operator="greaterThan">
      <formula>0</formula>
    </cfRule>
  </conditionalFormatting>
  <conditionalFormatting sqref="P17:P18">
    <cfRule type="cellIs" dxfId="2117" priority="71" operator="lessThan">
      <formula>0</formula>
    </cfRule>
  </conditionalFormatting>
  <conditionalFormatting sqref="Q17:Q18">
    <cfRule type="cellIs" dxfId="2116" priority="69" operator="greaterThan">
      <formula>1</formula>
    </cfRule>
    <cfRule type="cellIs" dxfId="2115" priority="70" operator="lessThan">
      <formula>0.8</formula>
    </cfRule>
  </conditionalFormatting>
  <conditionalFormatting sqref="R17:R18 AG17:AG18">
    <cfRule type="cellIs" dxfId="2114" priority="72" operator="lessThan">
      <formula>0.8</formula>
    </cfRule>
  </conditionalFormatting>
  <conditionalFormatting sqref="O10:O13">
    <cfRule type="cellIs" dxfId="2113" priority="64" operator="greaterThan">
      <formula>0</formula>
    </cfRule>
  </conditionalFormatting>
  <conditionalFormatting sqref="P10:P13">
    <cfRule type="cellIs" dxfId="2112" priority="67" operator="lessThan">
      <formula>0</formula>
    </cfRule>
  </conditionalFormatting>
  <conditionalFormatting sqref="Q10:Q13">
    <cfRule type="cellIs" dxfId="2111" priority="65" operator="greaterThan">
      <formula>1</formula>
    </cfRule>
    <cfRule type="cellIs" dxfId="2110" priority="66" operator="lessThan">
      <formula>0.8</formula>
    </cfRule>
  </conditionalFormatting>
  <conditionalFormatting sqref="O58">
    <cfRule type="cellIs" dxfId="2109" priority="59" operator="greaterThan">
      <formula>0</formula>
    </cfRule>
  </conditionalFormatting>
  <conditionalFormatting sqref="P58">
    <cfRule type="cellIs" dxfId="2108" priority="62" operator="lessThan">
      <formula>0</formula>
    </cfRule>
  </conditionalFormatting>
  <conditionalFormatting sqref="Q58">
    <cfRule type="cellIs" dxfId="2107" priority="60" operator="greaterThan">
      <formula>1</formula>
    </cfRule>
    <cfRule type="cellIs" dxfId="2106" priority="61" operator="lessThan">
      <formula>0.8</formula>
    </cfRule>
  </conditionalFormatting>
  <conditionalFormatting sqref="R58 AG58">
    <cfRule type="cellIs" dxfId="2105" priority="63" operator="lessThan">
      <formula>0.8</formula>
    </cfRule>
  </conditionalFormatting>
  <conditionalFormatting sqref="O64">
    <cfRule type="cellIs" dxfId="2104" priority="54" operator="greaterThan">
      <formula>0</formula>
    </cfRule>
  </conditionalFormatting>
  <conditionalFormatting sqref="P64 AE64">
    <cfRule type="cellIs" dxfId="2103" priority="57" operator="lessThan">
      <formula>0</formula>
    </cfRule>
  </conditionalFormatting>
  <conditionalFormatting sqref="Q64 AF64">
    <cfRule type="cellIs" dxfId="2102" priority="55" operator="greaterThan">
      <formula>1</formula>
    </cfRule>
    <cfRule type="cellIs" dxfId="2101" priority="56" operator="lessThan">
      <formula>0.8</formula>
    </cfRule>
  </conditionalFormatting>
  <conditionalFormatting sqref="R64 AG64">
    <cfRule type="cellIs" dxfId="2100" priority="58" operator="lessThan">
      <formula>0.8</formula>
    </cfRule>
  </conditionalFormatting>
  <conditionalFormatting sqref="O38">
    <cfRule type="cellIs" dxfId="2099" priority="49" operator="greaterThan">
      <formula>0</formula>
    </cfRule>
  </conditionalFormatting>
  <conditionalFormatting sqref="P38">
    <cfRule type="cellIs" dxfId="2098" priority="52" operator="lessThan">
      <formula>0</formula>
    </cfRule>
  </conditionalFormatting>
  <conditionalFormatting sqref="Q38">
    <cfRule type="cellIs" dxfId="2097" priority="50" operator="greaterThan">
      <formula>1</formula>
    </cfRule>
    <cfRule type="cellIs" dxfId="2096" priority="51" operator="lessThan">
      <formula>0.8</formula>
    </cfRule>
  </conditionalFormatting>
  <conditionalFormatting sqref="R38 AG38">
    <cfRule type="cellIs" dxfId="2095" priority="53" operator="lessThan">
      <formula>0.8</formula>
    </cfRule>
  </conditionalFormatting>
  <conditionalFormatting sqref="O73">
    <cfRule type="cellIs" dxfId="2094" priority="44" operator="greaterThan">
      <formula>0</formula>
    </cfRule>
  </conditionalFormatting>
  <conditionalFormatting sqref="P73">
    <cfRule type="cellIs" dxfId="2093" priority="47" operator="lessThan">
      <formula>0</formula>
    </cfRule>
  </conditionalFormatting>
  <conditionalFormatting sqref="Q73">
    <cfRule type="cellIs" dxfId="2092" priority="45" operator="greaterThan">
      <formula>1</formula>
    </cfRule>
    <cfRule type="cellIs" dxfId="2091" priority="46" operator="lessThan">
      <formula>0.8</formula>
    </cfRule>
  </conditionalFormatting>
  <conditionalFormatting sqref="R73">
    <cfRule type="cellIs" dxfId="2090" priority="48" operator="lessThan">
      <formula>0.8</formula>
    </cfRule>
  </conditionalFormatting>
  <conditionalFormatting sqref="O19:O20">
    <cfRule type="cellIs" dxfId="2089" priority="39" operator="greaterThan">
      <formula>0</formula>
    </cfRule>
  </conditionalFormatting>
  <conditionalFormatting sqref="P19:P20">
    <cfRule type="cellIs" dxfId="2088" priority="42" operator="lessThan">
      <formula>0</formula>
    </cfRule>
  </conditionalFormatting>
  <conditionalFormatting sqref="Q19:Q20">
    <cfRule type="cellIs" dxfId="2087" priority="40" operator="greaterThan">
      <formula>1</formula>
    </cfRule>
    <cfRule type="cellIs" dxfId="2086" priority="41" operator="lessThan">
      <formula>0.8</formula>
    </cfRule>
  </conditionalFormatting>
  <conditionalFormatting sqref="R19:R20 AG19:AG20">
    <cfRule type="cellIs" dxfId="2085" priority="43" operator="lessThan">
      <formula>0.8</formula>
    </cfRule>
  </conditionalFormatting>
  <conditionalFormatting sqref="O59">
    <cfRule type="cellIs" dxfId="2084" priority="34" operator="greaterThan">
      <formula>0</formula>
    </cfRule>
  </conditionalFormatting>
  <conditionalFormatting sqref="P59">
    <cfRule type="cellIs" dxfId="2083" priority="37" operator="lessThan">
      <formula>0</formula>
    </cfRule>
  </conditionalFormatting>
  <conditionalFormatting sqref="Q59">
    <cfRule type="cellIs" dxfId="2082" priority="35" operator="greaterThan">
      <formula>1</formula>
    </cfRule>
    <cfRule type="cellIs" dxfId="2081" priority="36" operator="lessThan">
      <formula>0.8</formula>
    </cfRule>
  </conditionalFormatting>
  <conditionalFormatting sqref="AG59 R59">
    <cfRule type="cellIs" dxfId="2080" priority="38" operator="lessThan">
      <formula>0.8</formula>
    </cfRule>
  </conditionalFormatting>
  <conditionalFormatting sqref="O63">
    <cfRule type="cellIs" dxfId="2079" priority="29" operator="greaterThan">
      <formula>0</formula>
    </cfRule>
  </conditionalFormatting>
  <conditionalFormatting sqref="P63 AE63">
    <cfRule type="cellIs" dxfId="2078" priority="32" operator="lessThan">
      <formula>0</formula>
    </cfRule>
  </conditionalFormatting>
  <conditionalFormatting sqref="Q63 AF63">
    <cfRule type="cellIs" dxfId="2077" priority="30" operator="greaterThan">
      <formula>1</formula>
    </cfRule>
    <cfRule type="cellIs" dxfId="2076" priority="31" operator="lessThan">
      <formula>0.8</formula>
    </cfRule>
  </conditionalFormatting>
  <conditionalFormatting sqref="R63 AG63">
    <cfRule type="cellIs" dxfId="2075" priority="33" operator="lessThan">
      <formula>0.8</formula>
    </cfRule>
  </conditionalFormatting>
  <conditionalFormatting sqref="O21">
    <cfRule type="cellIs" dxfId="2074" priority="24" operator="greaterThan">
      <formula>0</formula>
    </cfRule>
  </conditionalFormatting>
  <conditionalFormatting sqref="P21">
    <cfRule type="cellIs" dxfId="2073" priority="27" operator="lessThan">
      <formula>0</formula>
    </cfRule>
  </conditionalFormatting>
  <conditionalFormatting sqref="Q21">
    <cfRule type="cellIs" dxfId="2072" priority="25" operator="greaterThan">
      <formula>1</formula>
    </cfRule>
    <cfRule type="cellIs" dxfId="2071" priority="26" operator="lessThan">
      <formula>0.8</formula>
    </cfRule>
  </conditionalFormatting>
  <conditionalFormatting sqref="AG21 R21">
    <cfRule type="cellIs" dxfId="2070" priority="28" operator="lessThan">
      <formula>0.8</formula>
    </cfRule>
  </conditionalFormatting>
  <conditionalFormatting sqref="P8">
    <cfRule type="cellIs" dxfId="2069" priority="23" operator="lessThan">
      <formula>0</formula>
    </cfRule>
  </conditionalFormatting>
  <conditionalFormatting sqref="P22">
    <cfRule type="cellIs" dxfId="2068" priority="22" operator="lessThan">
      <formula>0</formula>
    </cfRule>
  </conditionalFormatting>
  <conditionalFormatting sqref="P29">
    <cfRule type="cellIs" dxfId="2067" priority="21" operator="lessThan">
      <formula>0</formula>
    </cfRule>
  </conditionalFormatting>
  <conditionalFormatting sqref="P39">
    <cfRule type="cellIs" dxfId="2066" priority="20" operator="lessThan">
      <formula>0</formula>
    </cfRule>
  </conditionalFormatting>
  <conditionalFormatting sqref="P51">
    <cfRule type="cellIs" dxfId="2065" priority="19" operator="lessThan">
      <formula>0</formula>
    </cfRule>
  </conditionalFormatting>
  <conditionalFormatting sqref="P61">
    <cfRule type="cellIs" dxfId="2064" priority="18" operator="lessThan">
      <formula>0</formula>
    </cfRule>
  </conditionalFormatting>
  <conditionalFormatting sqref="P66">
    <cfRule type="cellIs" dxfId="2063" priority="17" operator="lessThan">
      <formula>0</formula>
    </cfRule>
  </conditionalFormatting>
  <conditionalFormatting sqref="P76">
    <cfRule type="cellIs" dxfId="2062" priority="16" operator="lessThan">
      <formula>0</formula>
    </cfRule>
  </conditionalFormatting>
  <conditionalFormatting sqref="O74">
    <cfRule type="cellIs" dxfId="2061" priority="11" operator="greaterThan">
      <formula>0</formula>
    </cfRule>
  </conditionalFormatting>
  <conditionalFormatting sqref="P74">
    <cfRule type="cellIs" dxfId="2060" priority="14" operator="lessThan">
      <formula>0</formula>
    </cfRule>
  </conditionalFormatting>
  <conditionalFormatting sqref="Q74">
    <cfRule type="cellIs" dxfId="2059" priority="12" operator="greaterThan">
      <formula>1</formula>
    </cfRule>
    <cfRule type="cellIs" dxfId="2058" priority="13" operator="lessThan">
      <formula>0.8</formula>
    </cfRule>
  </conditionalFormatting>
  <conditionalFormatting sqref="R74">
    <cfRule type="cellIs" dxfId="2057" priority="15" operator="lessThan">
      <formula>0.8</formula>
    </cfRule>
  </conditionalFormatting>
  <conditionalFormatting sqref="O75">
    <cfRule type="cellIs" dxfId="2056" priority="6" operator="greaterThan">
      <formula>0</formula>
    </cfRule>
  </conditionalFormatting>
  <conditionalFormatting sqref="P75">
    <cfRule type="cellIs" dxfId="2055" priority="9" operator="lessThan">
      <formula>0</formula>
    </cfRule>
  </conditionalFormatting>
  <conditionalFormatting sqref="Q75">
    <cfRule type="cellIs" dxfId="2054" priority="7" operator="greaterThan">
      <formula>1</formula>
    </cfRule>
    <cfRule type="cellIs" dxfId="2053" priority="8" operator="lessThan">
      <formula>0.8</formula>
    </cfRule>
  </conditionalFormatting>
  <conditionalFormatting sqref="R75">
    <cfRule type="cellIs" dxfId="2052" priority="10" operator="lessThan">
      <formula>0.8</formula>
    </cfRule>
  </conditionalFormatting>
  <conditionalFormatting sqref="O60">
    <cfRule type="cellIs" dxfId="2051" priority="1" operator="greaterThan">
      <formula>0</formula>
    </cfRule>
  </conditionalFormatting>
  <conditionalFormatting sqref="P60">
    <cfRule type="cellIs" dxfId="2050" priority="4" operator="lessThan">
      <formula>0</formula>
    </cfRule>
  </conditionalFormatting>
  <conditionalFormatting sqref="Q60">
    <cfRule type="cellIs" dxfId="2049" priority="2" operator="greaterThan">
      <formula>1</formula>
    </cfRule>
    <cfRule type="cellIs" dxfId="2048" priority="3" operator="lessThan">
      <formula>0.8</formula>
    </cfRule>
  </conditionalFormatting>
  <conditionalFormatting sqref="AG60 R60">
    <cfRule type="cellIs" dxfId="2047" priority="5" operator="lessThan">
      <formula>0.8</formula>
    </cfRule>
  </conditionalFormatting>
  <dataValidations count="1">
    <dataValidation type="list" allowBlank="1" showInputMessage="1" showErrorMessage="1" sqref="AB8 AA5:AB7 AA8:AA65 AB10:AB62 AA66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14" sqref="O14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2495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2496</v>
      </c>
      <c r="C3" s="594" t="str">
        <f>TEXT('0729 4度C'!A2,"yyyy.mm.ddaaaa")</f>
        <v>2026.07.29星期三</v>
      </c>
      <c r="D3" s="595"/>
      <c r="E3" s="36" t="s">
        <v>474</v>
      </c>
      <c r="F3" s="596">
        <f>'0729 4度C'!D1</f>
        <v>184768</v>
      </c>
      <c r="G3" s="597"/>
      <c r="H3" s="36" t="s">
        <v>2497</v>
      </c>
      <c r="I3" s="598">
        <f>'0729 4度C'!F1</f>
        <v>6407406.4500000011</v>
      </c>
      <c r="J3" s="599"/>
      <c r="K3" s="37"/>
      <c r="L3" s="38"/>
      <c r="M3" s="39"/>
      <c r="N3" s="39"/>
    </row>
    <row r="4" spans="2:17" ht="28.5" customHeight="1">
      <c r="B4" s="600" t="s">
        <v>2498</v>
      </c>
      <c r="C4" s="586" t="s">
        <v>2499</v>
      </c>
      <c r="D4" s="587"/>
      <c r="E4" s="603" t="s">
        <v>2500</v>
      </c>
      <c r="F4" s="604"/>
      <c r="G4" s="603" t="s">
        <v>2501</v>
      </c>
      <c r="H4" s="604"/>
      <c r="I4" s="603" t="s">
        <v>2502</v>
      </c>
      <c r="J4" s="604"/>
      <c r="K4" s="584" t="s">
        <v>572</v>
      </c>
      <c r="L4" s="585"/>
      <c r="M4" s="585" t="s">
        <v>2503</v>
      </c>
      <c r="N4" s="585"/>
    </row>
    <row r="5" spans="2:17" ht="28.5" customHeight="1">
      <c r="B5" s="601"/>
      <c r="C5" s="586" t="s">
        <v>2504</v>
      </c>
      <c r="D5" s="587"/>
      <c r="E5" s="586" t="s">
        <v>2505</v>
      </c>
      <c r="F5" s="587"/>
      <c r="G5" s="588" t="s">
        <v>2506</v>
      </c>
      <c r="H5" s="589"/>
      <c r="I5" s="590" t="s">
        <v>2507</v>
      </c>
      <c r="J5" s="591"/>
      <c r="K5" s="40" t="s">
        <v>2508</v>
      </c>
      <c r="L5" s="41" t="s">
        <v>2509</v>
      </c>
      <c r="M5" s="40" t="s">
        <v>2508</v>
      </c>
      <c r="N5" s="41" t="s">
        <v>2510</v>
      </c>
    </row>
    <row r="6" spans="2:17" ht="28.5" customHeight="1">
      <c r="B6" s="601"/>
      <c r="C6" s="586" t="s">
        <v>41</v>
      </c>
      <c r="D6" s="587"/>
      <c r="E6" s="578">
        <f>AVERAGE(D13:M13)</f>
        <v>158.22539489978641</v>
      </c>
      <c r="F6" s="579">
        <f>AVERAGE(D31:O31,D13:J13)</f>
        <v>166.70560909759701</v>
      </c>
      <c r="G6" s="580">
        <f>AVERAGE(D13:J13)</f>
        <v>166.70560909759701</v>
      </c>
      <c r="H6" s="581"/>
      <c r="I6" s="580">
        <f>AVERAGE(K13:M13)</f>
        <v>138.43822843822844</v>
      </c>
      <c r="J6" s="581"/>
      <c r="K6" s="582">
        <f>'0729 4度C'!Y2</f>
        <v>0</v>
      </c>
      <c r="L6" s="567">
        <f>'0729 4度C'!Z2</f>
        <v>0</v>
      </c>
      <c r="M6" s="583">
        <f>'0729 4度C'!AC2</f>
        <v>66</v>
      </c>
      <c r="N6" s="567">
        <f>'0729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151.6496580949476</v>
      </c>
      <c r="F7" s="571">
        <f>AVERAGE(D32:O32,D14:J14)</f>
        <v>159.86580263945578</v>
      </c>
      <c r="G7" s="572">
        <f>AVERAGE(D14:J14)</f>
        <v>159.86580263945578</v>
      </c>
      <c r="H7" s="573"/>
      <c r="I7" s="572">
        <f>AVERAGE(K14:M14)</f>
        <v>132.47865415776178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0.95818155936532556</v>
      </c>
      <c r="F8" s="575">
        <f>AVERAGE(D15:J15,D33:O33)</f>
        <v>0.95869705772929159</v>
      </c>
      <c r="G8" s="576">
        <f>AVERAGE(D15:J15)</f>
        <v>0.95869705772929159</v>
      </c>
      <c r="H8" s="577"/>
      <c r="I8" s="576">
        <f>AVERAGE(K15:M15)</f>
        <v>0.95697872984940469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649</v>
      </c>
      <c r="N9" s="39"/>
      <c r="O9" s="39"/>
      <c r="P9" s="39"/>
      <c r="Q9" s="39"/>
    </row>
    <row r="10" spans="2:17" ht="30" customHeight="1">
      <c r="B10" s="550" t="s">
        <v>2511</v>
      </c>
      <c r="C10" s="551"/>
      <c r="D10" s="552" t="s">
        <v>2512</v>
      </c>
      <c r="E10" s="553"/>
      <c r="F10" s="553"/>
      <c r="G10" s="553"/>
      <c r="H10" s="553"/>
      <c r="I10" s="553"/>
      <c r="J10" s="554"/>
      <c r="K10" s="555" t="s">
        <v>2513</v>
      </c>
      <c r="L10" s="556"/>
      <c r="M10" s="557"/>
      <c r="P10" s="45"/>
      <c r="Q10" s="45"/>
    </row>
    <row r="11" spans="2:17" ht="17.25" customHeight="1">
      <c r="B11" s="558" t="s">
        <v>2514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2515</v>
      </c>
      <c r="C13" s="52" t="s">
        <v>108</v>
      </c>
      <c r="D13" s="53">
        <f>SUMIFS('0729 4度C'!$K:$K,'0729 4度C'!$A:$A,"新豐6線",'0729 4度C'!$B:$B,"平均")</f>
        <v>130.43478260869566</v>
      </c>
      <c r="E13" s="54">
        <f>SUMIFS('0729 4度C'!$K:$K,'0729 4度C'!$A:$A,"新豐2線",'0729 4度C'!$B:$B,"平均")</f>
        <v>86.206896551724142</v>
      </c>
      <c r="F13" s="55">
        <f>SUMIFS('0729 4度C'!$K:$K,'0729 4度C'!$A:$A,"新豐5線",'0729 4度C'!$B:$B,"平均")</f>
        <v>93.023255813953497</v>
      </c>
      <c r="G13" s="55">
        <f>SUMIFS('0729 4度C'!$K:$K,'0729 4度C'!$A:$A,"新豐7線",'0729 4度C'!$B:$B,"平均")</f>
        <v>127.27272727272728</v>
      </c>
      <c r="H13" s="55">
        <f>SUMIFS('0729 4度C'!$K:$K,'0729 4度C'!$A:$A,"新豐3線",'0729 4度C'!$B:$B,"平均")</f>
        <v>324.32432432432432</v>
      </c>
      <c r="I13" s="55">
        <f>SUMIFS('0729 4度C'!$K:$K,'0729 4度C'!$A:$A,"新豐1線",'0729 4度C'!$B:$B,"平均")</f>
        <v>112.99435028248588</v>
      </c>
      <c r="J13" s="56">
        <f>SUMIFS('0729 4度C'!$K:$K,'0729 4度C'!$A:$A,"新豐10線",'0729 4度C'!$B:$B,"平均")</f>
        <v>292.6829268292683</v>
      </c>
      <c r="K13" s="57">
        <f>SUMIFS('0729 4度C'!$K:$K,'0729 4度C'!$A:$A,"新豐8線",'0729 4度C'!$B:$B,"平均")</f>
        <v>134.26573426573427</v>
      </c>
      <c r="L13" s="58">
        <f>SUMIFS('0729 4度C'!$K:$K,'0729 4度C'!$A:$A,"新豐9線",'0729 4度C'!$B:$B,"平均")</f>
        <v>130</v>
      </c>
      <c r="M13" s="56">
        <f>SUMIFS('0729 4度C'!$K:$K,'0729 4度C'!$A:$A,"新豐4線",'0729 4度C'!$B:$B,"平均")</f>
        <v>151.04895104895104</v>
      </c>
    </row>
    <row r="14" spans="2:17" ht="39.6" customHeight="1">
      <c r="B14" s="563"/>
      <c r="C14" s="59" t="s">
        <v>2516</v>
      </c>
      <c r="D14" s="60">
        <f>SUMIFS('0729 4度C'!$N:$N,'0729 4度C'!$A:$A,"新豐6線",'0729 4度C'!$B:$B,"平均")</f>
        <v>124.88264020163824</v>
      </c>
      <c r="E14" s="61">
        <f>SUMIFS('0729 4度C'!$N:$N,'0729 4度C'!$A:$A,"新豐2線",'0729 4度C'!$B:$B,"平均")</f>
        <v>82.485956068886395</v>
      </c>
      <c r="F14" s="61">
        <f>SUMIFS('0729 4度C'!$N:$N,'0729 4度C'!$A:$A,"新豐5線",'0729 4度C'!$B:$B,"平均")</f>
        <v>88.997964553693947</v>
      </c>
      <c r="G14" s="61">
        <f>SUMIFS('0729 4度C'!$N:$N,'0729 4度C'!$A:$A,"新豐7線",'0729 4度C'!$B:$B,"平均")</f>
        <v>122.47938254456058</v>
      </c>
      <c r="H14" s="61">
        <f>SUMIFS('0729 4度C'!$N:$N,'0729 4度C'!$A:$A,"新豐3線",'0729 4度C'!$B:$B,"平均")</f>
        <v>311.67073586191236</v>
      </c>
      <c r="I14" s="61">
        <f>SUMIFS('0729 4度C'!$N:$N,'0729 4度C'!$A:$A,"新豐1線",'0729 4度C'!$B:$B,"平均")</f>
        <v>108.41092997010608</v>
      </c>
      <c r="J14" s="62">
        <f>SUMIFS('0729 4度C'!$N:$N,'0729 4度C'!$A:$A,"新豐10線",'0729 4度C'!$B:$B,"平均")</f>
        <v>280.13300927539291</v>
      </c>
      <c r="K14" s="63">
        <f>SUMIFS('0729 4度C'!$N:$N,'0729 4度C'!$A:$A,"新豐8線",'0729 4度C'!$B:$B,"平均")</f>
        <v>128.27402060265334</v>
      </c>
      <c r="L14" s="64">
        <f>SUMIFS('0729 4度C'!$N:$N,'0729 4度C'!$A:$A,"新豐9線",'0729 4度C'!$B:$B,"平均")</f>
        <v>124.64369518192504</v>
      </c>
      <c r="M14" s="62">
        <f>SUMIFS('0729 4度C'!$N:$N,'0729 4度C'!$A:$A,"新豐4線",'0729 4度C'!$B:$B,"平均")</f>
        <v>144.51824668870699</v>
      </c>
    </row>
    <row r="15" spans="2:17" ht="40.15" customHeight="1">
      <c r="B15" s="564"/>
      <c r="C15" s="65" t="s">
        <v>2517</v>
      </c>
      <c r="D15" s="66">
        <f t="shared" ref="D15:M15" si="0">D14/D13</f>
        <v>0.95743357487922642</v>
      </c>
      <c r="E15" s="67">
        <f t="shared" si="0"/>
        <v>0.95683709039908216</v>
      </c>
      <c r="F15" s="67">
        <f t="shared" si="0"/>
        <v>0.95672811895220988</v>
      </c>
      <c r="G15" s="67">
        <f t="shared" si="0"/>
        <v>0.96233800570726158</v>
      </c>
      <c r="H15" s="67">
        <f t="shared" si="0"/>
        <v>0.96098476890756312</v>
      </c>
      <c r="I15" s="67">
        <f t="shared" si="0"/>
        <v>0.95943673023543874</v>
      </c>
      <c r="J15" s="68">
        <f t="shared" si="0"/>
        <v>0.95712111502425912</v>
      </c>
      <c r="K15" s="66">
        <f t="shared" si="0"/>
        <v>0.95537421594684513</v>
      </c>
      <c r="L15" s="67">
        <f t="shared" si="0"/>
        <v>0.95879765524557725</v>
      </c>
      <c r="M15" s="68">
        <f t="shared" si="0"/>
        <v>0.95676431835579179</v>
      </c>
    </row>
    <row r="16" spans="2:17" ht="17.25" customHeight="1">
      <c r="B16" s="565" t="s">
        <v>2518</v>
      </c>
      <c r="C16" s="69" t="s">
        <v>219</v>
      </c>
      <c r="D16" s="70">
        <f>VLOOKUP("新豐6線",'0729 4度C'!$A:$T,19,0)</f>
        <v>0.70833333333333337</v>
      </c>
      <c r="E16" s="71">
        <f>VLOOKUP("新豐2線",'0729 4度C'!$A:$T,19,0)</f>
        <v>8.3333333333333329E-2</v>
      </c>
      <c r="F16" s="71">
        <f>VLOOKUP("新豐5線",'0729 4度C'!$A:$T,19,0)</f>
        <v>8.3333333333333329E-2</v>
      </c>
      <c r="G16" s="71">
        <f>VLOOKUP("新豐7線",'0729 4度C'!$A:$T,19,0)</f>
        <v>0.20833333333333334</v>
      </c>
      <c r="H16" s="71">
        <f>VLOOKUP("新豐3線",'0729 4度C'!$A:$T,19,0)</f>
        <v>0.20833333333333334</v>
      </c>
      <c r="I16" s="71">
        <f>VLOOKUP("新豐1線",'0729 4度C'!$A:$T,19,0)</f>
        <v>8.3333333333333329E-2</v>
      </c>
      <c r="J16" s="72">
        <f>VLOOKUP("新豐10線",'0729 4度C'!$A:$T,19,0)</f>
        <v>0.20833333333333334</v>
      </c>
      <c r="K16" s="73">
        <f>VLOOKUP("新豐8線",'0729 4度C'!$A:$T,19,0)</f>
        <v>8.3333333333333329E-2</v>
      </c>
      <c r="L16" s="74">
        <f>VLOOKUP("新豐9線",'0729 4度C'!$A:$T,19,0)</f>
        <v>8.3333333333333329E-2</v>
      </c>
      <c r="M16" s="75">
        <f>VLOOKUP("新豐4線",'0729 4度C'!$A:$T,19,0)</f>
        <v>8.3333333333333329E-2</v>
      </c>
    </row>
    <row r="17" spans="2:13" ht="17.25" customHeight="1">
      <c r="B17" s="566"/>
      <c r="C17" s="69" t="s">
        <v>2519</v>
      </c>
      <c r="D17" s="73">
        <f>LOOKUP(2,1/(('0729 4度C'!$A:$A="新豐6線")*('0729 4度C'!$T:$T&lt;&gt;"")),'0729 4度C'!$T:$T)</f>
        <v>0.84930555555555565</v>
      </c>
      <c r="E17" s="71">
        <f>LOOKUP(2,1/(('0729 4度C'!$A:$A="新豐2線")*('0729 4度C'!$T:$T&lt;&gt;"")),'0729 4度C'!$T:$T)</f>
        <v>0.59305555555555545</v>
      </c>
      <c r="F17" s="71">
        <f>LOOKUP(2,1/(('0729 4度C'!$A:$A="新豐5線")*('0729 4度C'!$T:$T&lt;&gt;"")),'0729 4度C'!$T:$T)</f>
        <v>0.84861111111111109</v>
      </c>
      <c r="G17" s="71">
        <f>LOOKUP(2,1/(('0729 4度C'!$A:$A="新豐7線")*('0729 4度C'!$T:$T&lt;&gt;"")),'0729 4度C'!$T:$T)</f>
        <v>0.90277777777777779</v>
      </c>
      <c r="H17" s="71">
        <f>LOOKUP(2,1/(('0729 4度C'!$A:$A="新豐3線")*('0729 4度C'!$T:$T&lt;&gt;"")),'0729 4度C'!$T:$T)</f>
        <v>0.41666666666666657</v>
      </c>
      <c r="I17" s="71">
        <f>LOOKUP(2,1/(('0729 4度C'!$A:$A="新豐1線")*('0729 4度C'!$T:$T&lt;&gt;"")),'0729 4度C'!$T:$T)</f>
        <v>0.90208333333333335</v>
      </c>
      <c r="J17" s="72">
        <f>LOOKUP(2,1/(('0729 4度C'!$A:$A="新豐10線")*('0729 4度C'!$T:$T&lt;&gt;"")),'0729 4度C'!$T:$T)</f>
        <v>0.43055555555555552</v>
      </c>
      <c r="K17" s="70">
        <f>LOOKUP(2,1/(('0729 4度C'!$A:$A="新豐8線")*('0729 4度C'!$T:$T&lt;&gt;"")),'0729 4度C'!$T:$T)</f>
        <v>0.6993055555555554</v>
      </c>
      <c r="L17" s="71">
        <f>LOOKUP(2,1/(('0729 4度C'!$A:$A="新豐9線")*('0729 4度C'!$T:$T&lt;&gt;"")),'0729 4度C'!$T:$T)</f>
        <v>0.70416666666666661</v>
      </c>
      <c r="M17" s="72">
        <f>LOOKUP(2,1/(('0729 4度C'!$A:$A="新豐4線")*('0729 4度C'!$T:$T&lt;&gt;"")),'0729 4度C'!$T:$T)</f>
        <v>0.72222222222222199</v>
      </c>
    </row>
    <row r="18" spans="2:13" ht="17.25" customHeight="1">
      <c r="B18" s="544" t="s">
        <v>2520</v>
      </c>
      <c r="C18" s="76" t="s">
        <v>2521</v>
      </c>
      <c r="D18" s="77">
        <f>SUMIFS('0729 4度C'!$Y:$Y,'0729 4度C'!$A:$A,"新豐6線",'0729 4度C'!$B:$B,"平均")</f>
        <v>0</v>
      </c>
      <c r="E18" s="78">
        <f>SUMIFS('0729 4度C'!$Y:$Y,'0729 4度C'!$A:$A,"新豐2線",'0729 4度C'!$B:$B,"平均")</f>
        <v>0</v>
      </c>
      <c r="F18" s="78">
        <f>SUMIFS('0729 4度C'!$Y:$Y,'0729 4度C'!$A:$A,"新豐5線",'0729 4度C'!$B:$B,"平均")</f>
        <v>0</v>
      </c>
      <c r="G18" s="78">
        <f>SUMIFS('0729 4度C'!$Y:$Y,'0729 4度C'!$A:$A,"新豐7線",'0729 4度C'!$B:$B,"平均")</f>
        <v>0</v>
      </c>
      <c r="H18" s="78">
        <f>SUMIFS('0729 4度C'!$Y:$Y,'0729 4度C'!$A:$A,"新豐3線",'0729 4度C'!$B:$B,"平均")</f>
        <v>0</v>
      </c>
      <c r="I18" s="78">
        <f>SUMIFS('0729 4度C'!$Y:$Y,'0729 4度C'!$A:$A,"新豐1線",'0729 4度C'!$B:$B,"平均")</f>
        <v>0</v>
      </c>
      <c r="J18" s="79">
        <f>SUMIFS('0729 4度C'!$Y:$Y,'0729 4度C'!$A:$A,"新豐10線",'0729 4度C'!$B:$B,"平均")</f>
        <v>0</v>
      </c>
      <c r="K18" s="80">
        <f>SUMIFS('0729 4度C'!$Y:$Y,'0729 4度C'!$A:$A,"新豐8線",'0729 4度C'!$B:$B,"平均")</f>
        <v>0</v>
      </c>
      <c r="L18" s="78">
        <f>SUMIFS('0729 4度C'!$Y:$Y,'0729 4度C'!$A:$A,"新豐9線",'0729 4度C'!$B:$B,"平均")</f>
        <v>0</v>
      </c>
      <c r="M18" s="79">
        <f>SUMIFS('0729 4度C'!$Y:$Y,'0729 4度C'!$A:$A,"新豐4線",'0729 4度C'!$B:$B,"平均")</f>
        <v>0</v>
      </c>
    </row>
    <row r="19" spans="2:13" ht="17.25" customHeight="1">
      <c r="B19" s="545"/>
      <c r="C19" s="76" t="s">
        <v>2522</v>
      </c>
      <c r="D19" s="77">
        <f>SUMIFS('0729 4度C'!$Z:$Z,'0729 4度C'!$A:$A,"新豐6線",'0729 4度C'!$B:$B,"平均")</f>
        <v>0</v>
      </c>
      <c r="E19" s="78">
        <f>SUMIFS('0729 4度C'!$Z:$Z,'0729 4度C'!$A:$A,"新豐2線",'0729 4度C'!$B:$B,"平均")</f>
        <v>0</v>
      </c>
      <c r="F19" s="78">
        <f>SUMIFS('0729 4度C'!$Z:$Z,'0729 4度C'!$A:$A,"新豐5線",'0729 4度C'!$B:$B,"平均")</f>
        <v>0</v>
      </c>
      <c r="G19" s="78">
        <f>SUMIFS('0729 4度C'!$Z:$Z,'0729 4度C'!$A:$A,"新豐7線",'0729 4度C'!$B:$B,"平均")</f>
        <v>0</v>
      </c>
      <c r="H19" s="78">
        <f>SUMIFS('0729 4度C'!$Z:$Z,'0729 4度C'!$A:$A,"新豐3線",'0729 4度C'!$B:$B,"平均")</f>
        <v>0</v>
      </c>
      <c r="I19" s="78">
        <f>SUMIFS('0729 4度C'!$Z:$Z,'0729 4度C'!$A:$A,"新豐1線",'0729 4度C'!$B:$B,"平均")</f>
        <v>0</v>
      </c>
      <c r="J19" s="79">
        <f>SUMIFS('0729 4度C'!$Z:$Z,'0729 4度C'!$A:$A,"新豐10線",'0729 4度C'!$B:$B,"平均")</f>
        <v>0</v>
      </c>
      <c r="K19" s="80">
        <f>SUMIFS('0729 4度C'!$Z:$Z,'0729 4度C'!$A:$A,"新豐8線",'0729 4度C'!$B:$B,"平均")</f>
        <v>0</v>
      </c>
      <c r="L19" s="78">
        <f>SUMIFS('0729 4度C'!$Z:$Z,'0729 4度C'!$A:$A,"新豐9線",'0729 4度C'!$B:$B,"平均")</f>
        <v>0</v>
      </c>
      <c r="M19" s="79">
        <f>SUMIFS('0729 4度C'!$Z:$Z,'0729 4度C'!$A:$A,"新豐4線",'0729 4度C'!$B:$B,"平均")</f>
        <v>0</v>
      </c>
    </row>
    <row r="20" spans="2:13" ht="17.25" customHeight="1">
      <c r="B20" s="544" t="s">
        <v>2523</v>
      </c>
      <c r="C20" s="76" t="s">
        <v>2524</v>
      </c>
      <c r="D20" s="77">
        <f>SUMIFS('0729 4度C'!$AC:$AC,'0729 4度C'!$A:$A,"新豐6線",'0729 4度C'!$B:$B,"平均")</f>
        <v>3</v>
      </c>
      <c r="E20" s="78">
        <f>SUMIFS('0729 4度C'!$AC:$AC,'0729 4度C'!$A:$A,"新豐2線",'0729 4度C'!$B:$B,"平均")</f>
        <v>5</v>
      </c>
      <c r="F20" s="78">
        <f>SUMIFS('0729 4度C'!$AC:$AC,'0729 4度C'!$A:$A,"新豐5線",'0729 4度C'!$B:$B,"平均")</f>
        <v>7</v>
      </c>
      <c r="G20" s="78">
        <f>SUMIFS('0729 4度C'!$AC:$AC,'0729 4度C'!$A:$A,"新豐7線",'0729 4度C'!$B:$B,"平均")</f>
        <v>7</v>
      </c>
      <c r="H20" s="78">
        <f>SUMIFS('0729 4度C'!$AC:$AC,'0729 4度C'!$A:$A,"新豐3線",'0729 4度C'!$B:$B,"平均")</f>
        <v>4</v>
      </c>
      <c r="I20" s="78">
        <f>SUMIFS('0729 4度C'!$AC:$AC,'0729 4度C'!$A:$A,"新豐1線",'0729 4度C'!$B:$B,"平均")</f>
        <v>10</v>
      </c>
      <c r="J20" s="79">
        <f>SUMIFS('0729 4度C'!$AC:$AC,'0729 4度C'!$A:$A,"新豐10線",'0729 4度C'!$B:$B,"平均")</f>
        <v>4</v>
      </c>
      <c r="K20" s="80">
        <f>SUMIFS('0729 4度C'!$AC:$AC,'0729 4度C'!$A:$A,"新豐8線",'0729 4度C'!$B:$B,"平均")</f>
        <v>8</v>
      </c>
      <c r="L20" s="78">
        <f>SUMIFS('0729 4度C'!$AC:$AC,'0729 4度C'!$A:$A,"新豐9線",'0729 4度C'!$B:$B,"平均")</f>
        <v>9</v>
      </c>
      <c r="M20" s="79">
        <f>SUMIFS('0729 4度C'!$AC:$AC,'0729 4度C'!$A:$A,"新豐4線",'0729 4度C'!$B:$B,"平均")</f>
        <v>9</v>
      </c>
    </row>
    <row r="21" spans="2:13" ht="17.25" customHeight="1">
      <c r="B21" s="545"/>
      <c r="C21" s="76" t="s">
        <v>2525</v>
      </c>
      <c r="D21" s="77">
        <f>SUMIFS('0729 4度C'!$AD:$AD,'0729 4度C'!$A:$A,"新豐6線",'0729 4度C'!$B:$B,"平均")</f>
        <v>0</v>
      </c>
      <c r="E21" s="78">
        <f>SUMIFS('0729 4度C'!$AD:$AD,'0729 4度C'!$A:$A,"新豐2線",'0729 4度C'!$B:$B,"平均")</f>
        <v>0</v>
      </c>
      <c r="F21" s="78">
        <f>SUMIFS('0729 4度C'!$AD:$AD,'0729 4度C'!$A:$A,"新豐5線",'0729 4度C'!$B:$B,"平均")</f>
        <v>0</v>
      </c>
      <c r="G21" s="78">
        <f>SUMIFS('0729 4度C'!$AD:$AD,'0729 4度C'!$A:$A,"新豐7線",'0729 4度C'!$B:$B,"平均")</f>
        <v>0</v>
      </c>
      <c r="H21" s="78">
        <f>SUMIFS('0729 4度C'!$AD:$AD,'0729 4度C'!$A:$A,"新豐3線",'0729 4度C'!$B:$B,"平均")</f>
        <v>0</v>
      </c>
      <c r="I21" s="78">
        <f>SUMIFS('0729 4度C'!$AD:$AD,'0729 4度C'!$A:$A,"新豐1線",'0729 4度C'!$B:$B,"平均")</f>
        <v>0</v>
      </c>
      <c r="J21" s="79">
        <f>SUMIFS('0729 4度C'!$AD:$AD,'0729 4度C'!$A:$A,"新豐10線",'0729 4度C'!$B:$B,"平均")</f>
        <v>0</v>
      </c>
      <c r="K21" s="80">
        <f>SUMIFS('0729 4度C'!$AD:$AD,'0729 4度C'!$A:$A,"新豐8線",'0729 4度C'!$B:$B,"平均")</f>
        <v>0</v>
      </c>
      <c r="L21" s="78">
        <f>SUMIFS('0729 4度C'!$AD:$AD,'0729 4度C'!$A:$A,"新豐9線",'0729 4度C'!$B:$B,"平均")</f>
        <v>0</v>
      </c>
      <c r="M21" s="79">
        <f>SUMIFS('0729 4度C'!$AD:$AD,'0729 4度C'!$A:$A,"新豐4線",'0729 4度C'!$B:$B,"平均")</f>
        <v>0</v>
      </c>
    </row>
    <row r="22" spans="2:13" ht="17.25" customHeight="1">
      <c r="B22" s="546" t="s">
        <v>2526</v>
      </c>
      <c r="C22" s="547"/>
      <c r="D22" s="81">
        <f>SUMIFS('0729 4度C'!$I:$I,'0729 4度C'!$A:$A,"新豐6線",'0729 4度C'!$B:$B,"平均")</f>
        <v>15.333333333333334</v>
      </c>
      <c r="E22" s="82">
        <f>SUMIFS('0729 4度C'!$I:$I,'0729 4度C'!$A:$A,"新豐2線",'0729 4度C'!$B:$B,"平均")</f>
        <v>17.399999999999999</v>
      </c>
      <c r="F22" s="82">
        <f>SUMIFS('0729 4度C'!$I:$I,'0729 4度C'!$A:$A,"新豐5線",'0729 4度C'!$B:$B,"平均")</f>
        <v>18.428571428571427</v>
      </c>
      <c r="G22" s="82">
        <f>SUMIFS('0729 4度C'!$I:$I,'0729 4度C'!$A:$A,"新豐7線",'0729 4度C'!$B:$B,"平均")</f>
        <v>15.714285714285714</v>
      </c>
      <c r="H22" s="82">
        <f>SUMIFS('0729 4度C'!$I:$I,'0729 4度C'!$A:$A,"新豐3線",'0729 4度C'!$B:$B,"平均")</f>
        <v>9.25</v>
      </c>
      <c r="I22" s="82">
        <f>SUMIFS('0729 4度C'!$I:$I,'0729 4度C'!$A:$A,"新豐1線",'0729 4度C'!$B:$B,"平均")</f>
        <v>17.7</v>
      </c>
      <c r="J22" s="83">
        <f>SUMIFS('0729 4度C'!$I:$I,'0729 4度C'!$A:$A,"新豐10線",'0729 4度C'!$B:$B,"平均")</f>
        <v>10.25</v>
      </c>
      <c r="K22" s="81">
        <f>SUMIFS('0729 4度C'!$I:$I,'0729 4度C'!$A:$A,"新豐8線",'0729 4度C'!$B:$B,"平均")</f>
        <v>17.875</v>
      </c>
      <c r="L22" s="82">
        <f>SUMIFS('0729 4度C'!$I:$I,'0729 4度C'!$A:$A,"新豐9線",'0729 4度C'!$B:$B,"平均")</f>
        <v>17.777777777777779</v>
      </c>
      <c r="M22" s="83">
        <f>SUMIFS('0729 4度C'!$I:$I,'0729 4度C'!$A:$A,"新豐4線",'0729 4度C'!$B:$B,"平均")</f>
        <v>15.888888888888889</v>
      </c>
    </row>
    <row r="23" spans="2:13" ht="17.25" customHeight="1">
      <c r="B23" s="546" t="s">
        <v>2527</v>
      </c>
      <c r="C23" s="547"/>
      <c r="D23" s="84" t="s">
        <v>54</v>
      </c>
      <c r="E23" s="85" t="s">
        <v>55</v>
      </c>
      <c r="F23" s="85" t="s">
        <v>2528</v>
      </c>
      <c r="G23" s="85" t="s">
        <v>2529</v>
      </c>
      <c r="H23" s="85" t="s">
        <v>56</v>
      </c>
      <c r="I23" s="85" t="s">
        <v>54</v>
      </c>
      <c r="J23" s="86" t="s">
        <v>56</v>
      </c>
      <c r="K23" s="84" t="s">
        <v>2530</v>
      </c>
      <c r="L23" s="85" t="s">
        <v>2530</v>
      </c>
      <c r="M23" s="86" t="s">
        <v>2531</v>
      </c>
    </row>
    <row r="24" spans="2:13" ht="17.25" customHeight="1">
      <c r="B24" s="546" t="s">
        <v>2532</v>
      </c>
      <c r="C24" s="547"/>
      <c r="D24" s="84"/>
      <c r="E24" s="85"/>
      <c r="F24" s="85" t="s">
        <v>2533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2534</v>
      </c>
      <c r="C25" s="549"/>
      <c r="D25" s="87"/>
      <c r="E25" s="88" t="s">
        <v>2535</v>
      </c>
      <c r="F25" s="542" t="s">
        <v>2536</v>
      </c>
      <c r="G25" s="543"/>
      <c r="H25" s="88" t="s">
        <v>2537</v>
      </c>
      <c r="I25" s="88" t="s">
        <v>2538</v>
      </c>
      <c r="J25" s="89" t="s">
        <v>2539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" activePane="bottomLeft" state="frozen"/>
      <selection activeCell="A15" sqref="A15"/>
      <selection pane="bottomLeft" activeCell="A15" sqref="A15:A2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2540</v>
      </c>
      <c r="B1" s="1"/>
      <c r="C1" s="2" t="s">
        <v>2541</v>
      </c>
      <c r="D1" s="3">
        <f>SUM(F5:F80)</f>
        <v>184768</v>
      </c>
      <c r="E1" s="503" t="s">
        <v>2542</v>
      </c>
      <c r="F1" s="1">
        <f>SUM(G5:G80)</f>
        <v>6407406.4500000011</v>
      </c>
      <c r="G1" s="1" t="s">
        <v>2543</v>
      </c>
      <c r="H1" s="4">
        <f>L8+L14+L54+L65+L22+L70+L39+L49+L30+L80</f>
        <v>155.61785714285716</v>
      </c>
      <c r="I1" s="654" t="s">
        <v>2544</v>
      </c>
      <c r="J1" s="654"/>
      <c r="K1" s="654"/>
      <c r="L1" s="654" t="s">
        <v>2545</v>
      </c>
      <c r="M1" s="654"/>
      <c r="N1" s="654"/>
      <c r="O1" s="654" t="s">
        <v>2546</v>
      </c>
      <c r="P1" s="654"/>
      <c r="Q1" s="654"/>
      <c r="R1" s="654"/>
      <c r="S1" s="654" t="s">
        <v>2547</v>
      </c>
      <c r="T1" s="654"/>
      <c r="U1" s="654"/>
      <c r="V1" s="654"/>
      <c r="W1" s="654"/>
      <c r="X1" s="654"/>
      <c r="Y1" s="5" t="s">
        <v>2548</v>
      </c>
      <c r="Z1" s="6" t="s">
        <v>2549</v>
      </c>
      <c r="AA1" s="655" t="s">
        <v>2550</v>
      </c>
      <c r="AB1" s="655"/>
      <c r="AC1" s="92" t="s">
        <v>2548</v>
      </c>
      <c r="AD1" s="6" t="s">
        <v>2551</v>
      </c>
      <c r="AE1" s="654" t="s">
        <v>2552</v>
      </c>
      <c r="AF1" s="656"/>
      <c r="AG1" s="656"/>
    </row>
    <row r="2" spans="1:33" ht="26.25" customHeight="1">
      <c r="A2" s="25">
        <v>46232</v>
      </c>
      <c r="B2" s="26" t="s">
        <v>76</v>
      </c>
      <c r="C2" s="2" t="s">
        <v>2195</v>
      </c>
      <c r="D2" s="8">
        <f>AVERAGE(N8,N14,N54,N65,N22,N70,N30,N39,N49,N80)</f>
        <v>151.6496580949476</v>
      </c>
      <c r="E2" s="9" t="s">
        <v>0</v>
      </c>
      <c r="F2" s="10">
        <f>F1/D1</f>
        <v>34.67811769354001</v>
      </c>
      <c r="G2" s="1" t="s">
        <v>2553</v>
      </c>
      <c r="H2" s="511">
        <f>COUNT(H5:H80)</f>
        <v>13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SUM(Y8+Y14+Y22+Y30+Y39+Y49+Y54+Y65+Y70+Y80)</f>
        <v>0</v>
      </c>
      <c r="Z2" s="11">
        <f>SUM(Z8+Z14+Z22+Z30+Z39+Z49+Z54+Z65+Z70+Z80)</f>
        <v>0</v>
      </c>
      <c r="AA2" s="655"/>
      <c r="AB2" s="655"/>
      <c r="AC2" s="11">
        <v>66</v>
      </c>
      <c r="AD2" s="11">
        <f>SUM(AD8+AD14+AD22+AD30+AD39+AD49+AD54+AD65+AD70+AD80)</f>
        <v>0</v>
      </c>
      <c r="AE2" s="656"/>
      <c r="AF2" s="656"/>
      <c r="AG2" s="656"/>
    </row>
    <row r="3" spans="1:33" ht="40.5" customHeight="1">
      <c r="A3" s="612" t="s">
        <v>2554</v>
      </c>
      <c r="B3" s="612" t="s">
        <v>2555</v>
      </c>
      <c r="C3" s="612" t="s">
        <v>2556</v>
      </c>
      <c r="D3" s="612"/>
      <c r="E3" s="652" t="s">
        <v>2557</v>
      </c>
      <c r="F3" s="612" t="s">
        <v>2558</v>
      </c>
      <c r="G3" s="652" t="s">
        <v>2559</v>
      </c>
      <c r="H3" s="645" t="s">
        <v>2560</v>
      </c>
      <c r="I3" s="644" t="s">
        <v>2561</v>
      </c>
      <c r="J3" s="641" t="s">
        <v>2562</v>
      </c>
      <c r="K3" s="650" t="s">
        <v>2195</v>
      </c>
      <c r="L3" s="644" t="s">
        <v>2561</v>
      </c>
      <c r="M3" s="641" t="s">
        <v>2562</v>
      </c>
      <c r="N3" s="650" t="s">
        <v>2195</v>
      </c>
      <c r="O3" s="644" t="s">
        <v>2561</v>
      </c>
      <c r="P3" s="650" t="s">
        <v>2195</v>
      </c>
      <c r="Q3" s="642" t="s">
        <v>2563</v>
      </c>
      <c r="R3" s="621" t="s">
        <v>2564</v>
      </c>
      <c r="S3" s="651" t="s">
        <v>1</v>
      </c>
      <c r="T3" s="651"/>
      <c r="U3" s="645" t="s">
        <v>2</v>
      </c>
      <c r="V3" s="645" t="s">
        <v>2565</v>
      </c>
      <c r="W3" s="612" t="s">
        <v>2566</v>
      </c>
      <c r="X3" s="612"/>
      <c r="Y3" s="646" t="s">
        <v>2567</v>
      </c>
      <c r="Z3" s="611"/>
      <c r="AA3" s="647" t="s">
        <v>2568</v>
      </c>
      <c r="AB3" s="648"/>
      <c r="AC3" s="646" t="s">
        <v>2569</v>
      </c>
      <c r="AD3" s="611"/>
      <c r="AE3" s="641" t="s">
        <v>2570</v>
      </c>
      <c r="AF3" s="642" t="s">
        <v>2563</v>
      </c>
      <c r="AG3" s="621" t="s">
        <v>2564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510" t="s">
        <v>3</v>
      </c>
      <c r="T4" s="510" t="s">
        <v>4</v>
      </c>
      <c r="U4" s="645"/>
      <c r="V4" s="645"/>
      <c r="W4" s="503" t="s">
        <v>2571</v>
      </c>
      <c r="X4" s="503" t="s">
        <v>2572</v>
      </c>
      <c r="Y4" s="502" t="s">
        <v>2573</v>
      </c>
      <c r="Z4" s="502" t="s">
        <v>2574</v>
      </c>
      <c r="AA4" s="649"/>
      <c r="AB4" s="648"/>
      <c r="AC4" s="502" t="s">
        <v>2575</v>
      </c>
      <c r="AD4" s="502" t="s">
        <v>2576</v>
      </c>
      <c r="AE4" s="641"/>
      <c r="AF4" s="642"/>
      <c r="AG4" s="621"/>
    </row>
    <row r="5" spans="1:33">
      <c r="A5" s="643" t="s">
        <v>2577</v>
      </c>
      <c r="B5" s="27" t="s">
        <v>5</v>
      </c>
      <c r="C5" s="657" t="s">
        <v>14</v>
      </c>
      <c r="D5" s="657"/>
      <c r="E5" s="27">
        <v>50.92</v>
      </c>
      <c r="F5" s="510">
        <v>2197</v>
      </c>
      <c r="G5" s="503">
        <f t="shared" ref="G5:G7" si="0">E5*F5</f>
        <v>111871.24</v>
      </c>
      <c r="H5" s="31" t="s">
        <v>40</v>
      </c>
      <c r="I5" s="508">
        <v>15</v>
      </c>
      <c r="J5" s="29">
        <v>2000</v>
      </c>
      <c r="K5" s="12">
        <f t="shared" ref="K5:K68" si="1">J5/I5</f>
        <v>133.33333333333334</v>
      </c>
      <c r="L5" s="508">
        <v>15</v>
      </c>
      <c r="M5" s="13">
        <f t="shared" ref="M5:M7" si="2">F5/V5*60</f>
        <v>1910.4347826086937</v>
      </c>
      <c r="N5" s="12">
        <f t="shared" ref="N5:N68" si="3">M5/L5</f>
        <v>127.36231884057958</v>
      </c>
      <c r="O5" s="14">
        <f t="shared" ref="O5:O68" si="4">L5-I5</f>
        <v>0</v>
      </c>
      <c r="P5" s="15">
        <f t="shared" ref="P5:P68" si="5">N5-K5</f>
        <v>-5.9710144927537669</v>
      </c>
      <c r="Q5" s="504">
        <f t="shared" ref="Q5:Q68" si="6">N5/K5</f>
        <v>0.9552173913043468</v>
      </c>
      <c r="R5" s="616">
        <f>Q8</f>
        <v>0.95743357487922642</v>
      </c>
      <c r="S5" s="32">
        <v>0.70833333333333337</v>
      </c>
      <c r="T5" s="32">
        <v>0.75625000000000009</v>
      </c>
      <c r="U5" s="503"/>
      <c r="V5" s="509">
        <f t="shared" ref="V5:V7" si="7">(T5-S5)*24*60</f>
        <v>69.000000000000071</v>
      </c>
      <c r="W5" s="16"/>
      <c r="X5" s="16"/>
      <c r="Y5" s="17"/>
      <c r="Z5" s="17"/>
      <c r="AA5" s="612"/>
      <c r="AB5" s="612"/>
      <c r="AC5" s="18">
        <v>3</v>
      </c>
      <c r="AD5" s="18"/>
      <c r="AE5" s="14">
        <f t="shared" ref="AE5:AE64" si="8">M5-J5</f>
        <v>-89.565217391306305</v>
      </c>
      <c r="AF5" s="504">
        <f t="shared" ref="AF5:AF68" si="9">M5/J5</f>
        <v>0.9552173913043468</v>
      </c>
      <c r="AG5" s="616">
        <f>AF8</f>
        <v>0.95743357487922653</v>
      </c>
    </row>
    <row r="6" spans="1:33">
      <c r="A6" s="644" t="s">
        <v>2578</v>
      </c>
      <c r="B6" s="27" t="s">
        <v>5</v>
      </c>
      <c r="C6" s="657" t="s">
        <v>19</v>
      </c>
      <c r="D6" s="657"/>
      <c r="E6" s="27">
        <v>50.98</v>
      </c>
      <c r="F6" s="510">
        <v>2315</v>
      </c>
      <c r="G6" s="503">
        <f t="shared" si="0"/>
        <v>118018.7</v>
      </c>
      <c r="H6" s="31" t="s">
        <v>40</v>
      </c>
      <c r="I6" s="508">
        <v>16</v>
      </c>
      <c r="J6" s="29">
        <v>2000</v>
      </c>
      <c r="K6" s="12">
        <f t="shared" si="1"/>
        <v>125</v>
      </c>
      <c r="L6" s="508">
        <v>16</v>
      </c>
      <c r="M6" s="13">
        <f t="shared" si="2"/>
        <v>1929.1666666666649</v>
      </c>
      <c r="N6" s="12">
        <f t="shared" si="3"/>
        <v>120.57291666666656</v>
      </c>
      <c r="O6" s="14">
        <f t="shared" si="4"/>
        <v>0</v>
      </c>
      <c r="P6" s="15">
        <f t="shared" si="5"/>
        <v>-4.4270833333334423</v>
      </c>
      <c r="Q6" s="504">
        <f t="shared" si="6"/>
        <v>0.96458333333333246</v>
      </c>
      <c r="R6" s="616"/>
      <c r="S6" s="32">
        <v>0.76180555555555562</v>
      </c>
      <c r="T6" s="32">
        <v>0.81180555555555567</v>
      </c>
      <c r="U6" s="503">
        <f t="shared" ref="U6:U7" si="10">IF(S6=TIME(17,0,0),"",(S6-T5)*24*60)</f>
        <v>7.9999999999999716</v>
      </c>
      <c r="V6" s="509">
        <f t="shared" si="7"/>
        <v>72.000000000000057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-70.833333333335077</v>
      </c>
      <c r="AF6" s="504">
        <f t="shared" si="9"/>
        <v>0.96458333333333246</v>
      </c>
      <c r="AG6" s="616"/>
    </row>
    <row r="7" spans="1:33">
      <c r="A7" s="644" t="s">
        <v>2578</v>
      </c>
      <c r="B7" s="27" t="s">
        <v>5</v>
      </c>
      <c r="C7" s="638" t="s">
        <v>7</v>
      </c>
      <c r="D7" s="639"/>
      <c r="E7" s="27">
        <v>50.67</v>
      </c>
      <c r="F7" s="510">
        <v>1524</v>
      </c>
      <c r="G7" s="503">
        <f t="shared" si="0"/>
        <v>77221.08</v>
      </c>
      <c r="H7" s="31" t="s">
        <v>40</v>
      </c>
      <c r="I7" s="508">
        <v>15</v>
      </c>
      <c r="J7" s="29">
        <v>2000</v>
      </c>
      <c r="K7" s="12">
        <f t="shared" si="1"/>
        <v>133.33333333333334</v>
      </c>
      <c r="L7" s="508">
        <v>15</v>
      </c>
      <c r="M7" s="13">
        <f t="shared" si="2"/>
        <v>1905.0000000000007</v>
      </c>
      <c r="N7" s="12">
        <f t="shared" si="3"/>
        <v>127.00000000000004</v>
      </c>
      <c r="O7" s="14">
        <f t="shared" si="4"/>
        <v>0</v>
      </c>
      <c r="P7" s="15">
        <f t="shared" si="5"/>
        <v>-6.3333333333333002</v>
      </c>
      <c r="Q7" s="504">
        <f t="shared" si="6"/>
        <v>0.95250000000000024</v>
      </c>
      <c r="R7" s="616"/>
      <c r="S7" s="32">
        <v>0.81597222222222232</v>
      </c>
      <c r="T7" s="32">
        <v>0.84930555555555565</v>
      </c>
      <c r="U7" s="503">
        <f t="shared" si="10"/>
        <v>5.9999999999999787</v>
      </c>
      <c r="V7" s="509">
        <f t="shared" si="7"/>
        <v>47.999999999999986</v>
      </c>
      <c r="W7" s="16"/>
      <c r="X7" s="16"/>
      <c r="Y7" s="19"/>
      <c r="Z7" s="19"/>
      <c r="AA7" s="607"/>
      <c r="AB7" s="608"/>
      <c r="AC7" s="267"/>
      <c r="AD7" s="267"/>
      <c r="AE7" s="14">
        <f t="shared" si="8"/>
        <v>-94.999999999999318</v>
      </c>
      <c r="AF7" s="504">
        <f t="shared" si="9"/>
        <v>0.95250000000000035</v>
      </c>
      <c r="AG7" s="616"/>
    </row>
    <row r="8" spans="1:33">
      <c r="A8" s="644" t="s">
        <v>2578</v>
      </c>
      <c r="B8" s="27" t="s">
        <v>2579</v>
      </c>
      <c r="C8" s="658"/>
      <c r="D8" s="658"/>
      <c r="E8" s="505"/>
      <c r="F8" s="28"/>
      <c r="G8" s="12"/>
      <c r="H8" s="510"/>
      <c r="I8" s="21">
        <v>15.333333333333334</v>
      </c>
      <c r="J8" s="29">
        <v>2000</v>
      </c>
      <c r="K8" s="12">
        <f t="shared" si="1"/>
        <v>130.43478260869566</v>
      </c>
      <c r="L8" s="21">
        <v>15.333333333333334</v>
      </c>
      <c r="M8" s="13">
        <f>AVERAGE(M5:M7)</f>
        <v>1914.867149758453</v>
      </c>
      <c r="N8" s="12">
        <f t="shared" si="3"/>
        <v>124.88264020163824</v>
      </c>
      <c r="O8" s="14">
        <f t="shared" si="4"/>
        <v>0</v>
      </c>
      <c r="P8" s="15">
        <f t="shared" si="5"/>
        <v>-5.552142407057417</v>
      </c>
      <c r="Q8" s="504">
        <f t="shared" si="6"/>
        <v>0.95743357487922642</v>
      </c>
      <c r="R8" s="616"/>
      <c r="S8" s="32"/>
      <c r="T8" s="32"/>
      <c r="U8" s="503"/>
      <c r="V8" s="509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-85.132850241546976</v>
      </c>
      <c r="AF8" s="504">
        <f t="shared" si="9"/>
        <v>0.95743357487922653</v>
      </c>
      <c r="AG8" s="616"/>
    </row>
    <row r="9" spans="1:33" ht="15.75" customHeight="1">
      <c r="A9" s="640" t="s">
        <v>2580</v>
      </c>
      <c r="B9" s="27" t="s">
        <v>8</v>
      </c>
      <c r="C9" s="638" t="s">
        <v>10</v>
      </c>
      <c r="D9" s="639"/>
      <c r="E9" s="27">
        <v>39.799999999999997</v>
      </c>
      <c r="F9" s="510">
        <v>3700</v>
      </c>
      <c r="G9" s="503">
        <f t="shared" ref="G9:G13" si="11">E9*F9</f>
        <v>147260</v>
      </c>
      <c r="H9" s="31">
        <v>2</v>
      </c>
      <c r="I9" s="508">
        <v>17</v>
      </c>
      <c r="J9" s="29">
        <v>1500</v>
      </c>
      <c r="K9" s="12">
        <f t="shared" si="1"/>
        <v>88.235294117647058</v>
      </c>
      <c r="L9" s="508">
        <v>17</v>
      </c>
      <c r="M9" s="13">
        <f t="shared" ref="M9:M13" si="12">F9/V9*60</f>
        <v>1432.2580645161293</v>
      </c>
      <c r="N9" s="12">
        <f t="shared" si="3"/>
        <v>84.250474383301722</v>
      </c>
      <c r="O9" s="14">
        <f t="shared" si="4"/>
        <v>0</v>
      </c>
      <c r="P9" s="15">
        <f t="shared" si="5"/>
        <v>-3.9848197343453364</v>
      </c>
      <c r="Q9" s="504">
        <f t="shared" si="6"/>
        <v>0.95483870967741957</v>
      </c>
      <c r="R9" s="616">
        <f>Q14</f>
        <v>0.95683709039908216</v>
      </c>
      <c r="S9" s="32">
        <v>8.3333333333333329E-2</v>
      </c>
      <c r="T9" s="32">
        <v>0.19097222222222221</v>
      </c>
      <c r="U9" s="503"/>
      <c r="V9" s="509">
        <f t="shared" ref="V9:V13" si="13">(T9-S9)*24*60</f>
        <v>154.99999999999997</v>
      </c>
      <c r="W9" s="16">
        <f>T9</f>
        <v>0.19097222222222221</v>
      </c>
      <c r="X9" s="16">
        <f>S10</f>
        <v>0.20902777777777776</v>
      </c>
      <c r="Y9" s="16"/>
      <c r="Z9" s="16"/>
      <c r="AA9" s="612"/>
      <c r="AB9" s="612"/>
      <c r="AC9" s="18">
        <v>5</v>
      </c>
      <c r="AD9" s="18"/>
      <c r="AE9" s="14">
        <f t="shared" si="8"/>
        <v>-67.741935483870748</v>
      </c>
      <c r="AF9" s="504">
        <f t="shared" si="9"/>
        <v>0.95483870967741946</v>
      </c>
      <c r="AG9" s="616">
        <f>AF14</f>
        <v>0.95683709039908216</v>
      </c>
    </row>
    <row r="10" spans="1:33" ht="15.75" customHeight="1">
      <c r="A10" s="640" t="s">
        <v>2580</v>
      </c>
      <c r="B10" s="27" t="s">
        <v>8</v>
      </c>
      <c r="C10" s="638" t="s">
        <v>63</v>
      </c>
      <c r="D10" s="639"/>
      <c r="E10" s="27">
        <v>39.46</v>
      </c>
      <c r="F10" s="510">
        <v>2753</v>
      </c>
      <c r="G10" s="503">
        <f t="shared" si="11"/>
        <v>108633.38</v>
      </c>
      <c r="H10" s="31" t="s">
        <v>40</v>
      </c>
      <c r="I10" s="508">
        <v>15</v>
      </c>
      <c r="J10" s="29">
        <v>1500</v>
      </c>
      <c r="K10" s="12">
        <f t="shared" si="1"/>
        <v>100</v>
      </c>
      <c r="L10" s="508">
        <v>15</v>
      </c>
      <c r="M10" s="13">
        <f t="shared" si="12"/>
        <v>1436.3478260869567</v>
      </c>
      <c r="N10" s="12">
        <f t="shared" si="3"/>
        <v>95.756521739130449</v>
      </c>
      <c r="O10" s="14">
        <f t="shared" si="4"/>
        <v>0</v>
      </c>
      <c r="P10" s="15">
        <f t="shared" si="5"/>
        <v>-4.2434782608695514</v>
      </c>
      <c r="Q10" s="504">
        <f t="shared" si="6"/>
        <v>0.95756521739130451</v>
      </c>
      <c r="R10" s="616"/>
      <c r="S10" s="32">
        <v>0.20902777777777776</v>
      </c>
      <c r="T10" s="32">
        <v>0.28888888888888886</v>
      </c>
      <c r="U10" s="503">
        <f t="shared" ref="U10:U13" si="14">IF(S10=TIME(17,0,0),"",(S10-T9)*24*60)</f>
        <v>25.999999999999986</v>
      </c>
      <c r="V10" s="509">
        <f t="shared" si="13"/>
        <v>114.99999999999999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-63.652173913043271</v>
      </c>
      <c r="AF10" s="504">
        <f t="shared" si="9"/>
        <v>0.95756521739130451</v>
      </c>
      <c r="AG10" s="616"/>
    </row>
    <row r="11" spans="1:33" ht="15.75" customHeight="1">
      <c r="A11" s="640" t="s">
        <v>2580</v>
      </c>
      <c r="B11" s="27" t="s">
        <v>8</v>
      </c>
      <c r="C11" s="638" t="s">
        <v>74</v>
      </c>
      <c r="D11" s="639"/>
      <c r="E11" s="27">
        <v>39.520000000000003</v>
      </c>
      <c r="F11" s="510">
        <v>2308</v>
      </c>
      <c r="G11" s="503">
        <f t="shared" si="11"/>
        <v>91212.160000000003</v>
      </c>
      <c r="H11" s="31" t="s">
        <v>40</v>
      </c>
      <c r="I11" s="508">
        <v>19</v>
      </c>
      <c r="J11" s="29">
        <v>1500</v>
      </c>
      <c r="K11" s="12">
        <f t="shared" si="1"/>
        <v>78.94736842105263</v>
      </c>
      <c r="L11" s="508">
        <v>19</v>
      </c>
      <c r="M11" s="13">
        <f t="shared" si="12"/>
        <v>1442.5000000000005</v>
      </c>
      <c r="N11" s="12">
        <f t="shared" si="3"/>
        <v>75.921052631578974</v>
      </c>
      <c r="O11" s="14">
        <f t="shared" si="4"/>
        <v>0</v>
      </c>
      <c r="P11" s="15">
        <f t="shared" si="5"/>
        <v>-3.0263157894736565</v>
      </c>
      <c r="Q11" s="504">
        <f t="shared" si="6"/>
        <v>0.961666666666667</v>
      </c>
      <c r="R11" s="616"/>
      <c r="S11" s="32">
        <v>0.2944444444444444</v>
      </c>
      <c r="T11" s="32">
        <v>0.36111111111111105</v>
      </c>
      <c r="U11" s="503">
        <f t="shared" si="14"/>
        <v>7.9999999999999716</v>
      </c>
      <c r="V11" s="509">
        <f t="shared" si="13"/>
        <v>95.999999999999972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-57.499999999999545</v>
      </c>
      <c r="AF11" s="504">
        <f t="shared" si="9"/>
        <v>0.961666666666667</v>
      </c>
      <c r="AG11" s="616"/>
    </row>
    <row r="12" spans="1:33" ht="15.75" customHeight="1">
      <c r="A12" s="640" t="s">
        <v>2580</v>
      </c>
      <c r="B12" s="27" t="s">
        <v>8</v>
      </c>
      <c r="C12" s="638" t="s">
        <v>9</v>
      </c>
      <c r="D12" s="639"/>
      <c r="E12" s="27">
        <v>39.619999999999997</v>
      </c>
      <c r="F12" s="510">
        <v>4207</v>
      </c>
      <c r="G12" s="503">
        <f t="shared" si="11"/>
        <v>166681.34</v>
      </c>
      <c r="H12" s="31" t="s">
        <v>40</v>
      </c>
      <c r="I12" s="508">
        <v>19</v>
      </c>
      <c r="J12" s="29">
        <v>1500</v>
      </c>
      <c r="K12" s="12">
        <f t="shared" si="1"/>
        <v>78.94736842105263</v>
      </c>
      <c r="L12" s="508">
        <v>19</v>
      </c>
      <c r="M12" s="13">
        <f t="shared" si="12"/>
        <v>1434.2045454545455</v>
      </c>
      <c r="N12" s="12">
        <f t="shared" si="3"/>
        <v>75.484449760765557</v>
      </c>
      <c r="O12" s="14">
        <f t="shared" si="4"/>
        <v>0</v>
      </c>
      <c r="P12" s="15">
        <f t="shared" si="5"/>
        <v>-3.4629186602870732</v>
      </c>
      <c r="Q12" s="504">
        <f t="shared" si="6"/>
        <v>0.95613636363636378</v>
      </c>
      <c r="R12" s="616"/>
      <c r="S12" s="32">
        <v>0.36666666666666659</v>
      </c>
      <c r="T12" s="32">
        <v>0.48888888888888882</v>
      </c>
      <c r="U12" s="503">
        <f t="shared" si="14"/>
        <v>7.9999999999999716</v>
      </c>
      <c r="V12" s="509">
        <f t="shared" si="13"/>
        <v>176</v>
      </c>
      <c r="W12" s="16">
        <f>T12</f>
        <v>0.48888888888888882</v>
      </c>
      <c r="X12" s="16">
        <f>S13</f>
        <v>0.52847222222222212</v>
      </c>
      <c r="Y12" s="16"/>
      <c r="Z12" s="16"/>
      <c r="AA12" s="607"/>
      <c r="AB12" s="608"/>
      <c r="AC12" s="18"/>
      <c r="AD12" s="18"/>
      <c r="AE12" s="14">
        <f t="shared" si="8"/>
        <v>-65.795454545454504</v>
      </c>
      <c r="AF12" s="504">
        <f t="shared" si="9"/>
        <v>0.95613636363636367</v>
      </c>
      <c r="AG12" s="616"/>
    </row>
    <row r="13" spans="1:33" ht="15.75" customHeight="1">
      <c r="A13" s="640" t="s">
        <v>2580</v>
      </c>
      <c r="B13" s="27" t="s">
        <v>8</v>
      </c>
      <c r="C13" s="638" t="s">
        <v>10</v>
      </c>
      <c r="D13" s="639"/>
      <c r="E13" s="27">
        <v>39.799999999999997</v>
      </c>
      <c r="F13" s="510">
        <v>2218</v>
      </c>
      <c r="G13" s="503">
        <f t="shared" si="11"/>
        <v>88276.4</v>
      </c>
      <c r="H13" s="31" t="s">
        <v>40</v>
      </c>
      <c r="I13" s="508">
        <v>17</v>
      </c>
      <c r="J13" s="29">
        <v>1500</v>
      </c>
      <c r="K13" s="12">
        <f t="shared" si="1"/>
        <v>88.235294117647058</v>
      </c>
      <c r="L13" s="508">
        <v>17</v>
      </c>
      <c r="M13" s="13">
        <f t="shared" si="12"/>
        <v>1430.9677419354839</v>
      </c>
      <c r="N13" s="12">
        <f t="shared" si="3"/>
        <v>84.174573055028461</v>
      </c>
      <c r="O13" s="14">
        <f t="shared" si="4"/>
        <v>0</v>
      </c>
      <c r="P13" s="15">
        <f t="shared" si="5"/>
        <v>-4.0607210626185974</v>
      </c>
      <c r="Q13" s="504">
        <f t="shared" si="6"/>
        <v>0.95397849462365591</v>
      </c>
      <c r="R13" s="616"/>
      <c r="S13" s="32">
        <v>0.52847222222222212</v>
      </c>
      <c r="T13" s="32">
        <v>0.59305555555555545</v>
      </c>
      <c r="U13" s="503">
        <f t="shared" si="14"/>
        <v>56.999999999999957</v>
      </c>
      <c r="V13" s="509">
        <f t="shared" si="13"/>
        <v>92.999999999999986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-69.0322580645161</v>
      </c>
      <c r="AF13" s="504">
        <f t="shared" si="9"/>
        <v>0.95397849462365591</v>
      </c>
      <c r="AG13" s="616"/>
    </row>
    <row r="14" spans="1:33" ht="16.5" customHeight="1">
      <c r="A14" s="640" t="s">
        <v>2580</v>
      </c>
      <c r="B14" s="27" t="s">
        <v>2579</v>
      </c>
      <c r="C14" s="658"/>
      <c r="D14" s="658"/>
      <c r="E14" s="505"/>
      <c r="F14" s="29"/>
      <c r="G14" s="13"/>
      <c r="H14" s="510"/>
      <c r="I14" s="21">
        <v>17.399999999999999</v>
      </c>
      <c r="J14" s="29">
        <v>1500</v>
      </c>
      <c r="K14" s="12">
        <f t="shared" si="1"/>
        <v>86.206896551724142</v>
      </c>
      <c r="L14" s="21">
        <v>17.399999999999999</v>
      </c>
      <c r="M14" s="13">
        <f>AVERAGE(M9:M13)</f>
        <v>1435.2556355986233</v>
      </c>
      <c r="N14" s="12">
        <f t="shared" si="3"/>
        <v>82.485956068886395</v>
      </c>
      <c r="O14" s="14">
        <f t="shared" si="4"/>
        <v>0</v>
      </c>
      <c r="P14" s="15">
        <f t="shared" si="5"/>
        <v>-3.7209404828377473</v>
      </c>
      <c r="Q14" s="504">
        <f t="shared" si="6"/>
        <v>0.95683709039908216</v>
      </c>
      <c r="R14" s="616"/>
      <c r="S14" s="32"/>
      <c r="T14" s="32"/>
      <c r="U14" s="12"/>
      <c r="V14" s="509"/>
      <c r="W14" s="12"/>
      <c r="X14" s="12"/>
      <c r="Y14" s="22">
        <f>SUM(Y9:Y13)</f>
        <v>0</v>
      </c>
      <c r="Z14" s="22">
        <f>SUM(Z9:Z13)</f>
        <v>0</v>
      </c>
      <c r="AA14" s="611"/>
      <c r="AB14" s="611"/>
      <c r="AC14" s="22">
        <v>5</v>
      </c>
      <c r="AD14" s="22">
        <f>SUM(AD9:AD13)</f>
        <v>0</v>
      </c>
      <c r="AE14" s="14">
        <f t="shared" si="8"/>
        <v>-64.744364401376743</v>
      </c>
      <c r="AF14" s="504">
        <f t="shared" si="9"/>
        <v>0.95683709039908216</v>
      </c>
      <c r="AG14" s="616"/>
    </row>
    <row r="15" spans="1:33" ht="16.5" customHeight="1">
      <c r="A15" s="636" t="s">
        <v>2581</v>
      </c>
      <c r="B15" s="510" t="s">
        <v>1134</v>
      </c>
      <c r="C15" s="659" t="s">
        <v>1035</v>
      </c>
      <c r="D15" s="659"/>
      <c r="E15" s="27">
        <v>31.11</v>
      </c>
      <c r="F15" s="510">
        <v>3304</v>
      </c>
      <c r="G15" s="503">
        <f t="shared" ref="G15:G21" si="15">E15*F15</f>
        <v>102787.44</v>
      </c>
      <c r="H15" s="31" t="s">
        <v>40</v>
      </c>
      <c r="I15" s="508">
        <v>14</v>
      </c>
      <c r="J15" s="29">
        <v>2000</v>
      </c>
      <c r="K15" s="12">
        <f t="shared" si="1"/>
        <v>142.85714285714286</v>
      </c>
      <c r="L15" s="508">
        <v>14</v>
      </c>
      <c r="M15" s="13">
        <f t="shared" ref="M15:M21" si="16">F15/V15*60</f>
        <v>1906.1538461538462</v>
      </c>
      <c r="N15" s="12">
        <f t="shared" si="3"/>
        <v>136.15384615384616</v>
      </c>
      <c r="O15" s="14">
        <f t="shared" si="4"/>
        <v>0</v>
      </c>
      <c r="P15" s="15">
        <f t="shared" si="5"/>
        <v>-6.7032967032967008</v>
      </c>
      <c r="Q15" s="504">
        <f t="shared" si="6"/>
        <v>0.95307692307692304</v>
      </c>
      <c r="R15" s="616">
        <f>Q22</f>
        <v>0.95672811895220988</v>
      </c>
      <c r="S15" s="32">
        <v>8.3333333333333329E-2</v>
      </c>
      <c r="T15" s="32">
        <v>0.15555555555555556</v>
      </c>
      <c r="U15" s="503"/>
      <c r="V15" s="509">
        <f t="shared" ref="V15:V21" si="17">(T15-S15)*24*60</f>
        <v>104</v>
      </c>
      <c r="W15" s="16">
        <f>T15</f>
        <v>0.15555555555555556</v>
      </c>
      <c r="X15" s="16">
        <f>S16</f>
        <v>0.17430555555555557</v>
      </c>
      <c r="Y15" s="20"/>
      <c r="Z15" s="20"/>
      <c r="AA15" s="612"/>
      <c r="AB15" s="612"/>
      <c r="AC15" s="18">
        <v>7</v>
      </c>
      <c r="AD15" s="18"/>
      <c r="AE15" s="14">
        <f t="shared" si="8"/>
        <v>-93.846153846153811</v>
      </c>
      <c r="AF15" s="504">
        <f t="shared" si="9"/>
        <v>0.95307692307692304</v>
      </c>
      <c r="AG15" s="616">
        <f>AF22</f>
        <v>0.95672811895220988</v>
      </c>
    </row>
    <row r="16" spans="1:33" ht="16.5" customHeight="1">
      <c r="A16" s="637" t="s">
        <v>2581</v>
      </c>
      <c r="B16" s="510" t="s">
        <v>11</v>
      </c>
      <c r="C16" s="659" t="s">
        <v>67</v>
      </c>
      <c r="D16" s="659"/>
      <c r="E16" s="27">
        <v>38.619999999999997</v>
      </c>
      <c r="F16" s="510">
        <v>2302</v>
      </c>
      <c r="G16" s="503">
        <f t="shared" si="15"/>
        <v>88903.239999999991</v>
      </c>
      <c r="H16" s="31" t="s">
        <v>40</v>
      </c>
      <c r="I16" s="508">
        <v>24</v>
      </c>
      <c r="J16" s="29">
        <v>1500</v>
      </c>
      <c r="K16" s="12">
        <f t="shared" si="1"/>
        <v>62.5</v>
      </c>
      <c r="L16" s="508">
        <v>24</v>
      </c>
      <c r="M16" s="13">
        <f t="shared" si="16"/>
        <v>1438.7499999999998</v>
      </c>
      <c r="N16" s="12">
        <f t="shared" si="3"/>
        <v>59.947916666666657</v>
      </c>
      <c r="O16" s="14">
        <f t="shared" si="4"/>
        <v>0</v>
      </c>
      <c r="P16" s="15">
        <f t="shared" si="5"/>
        <v>-2.5520833333333428</v>
      </c>
      <c r="Q16" s="504">
        <f t="shared" si="6"/>
        <v>0.9591666666666665</v>
      </c>
      <c r="R16" s="616"/>
      <c r="S16" s="32">
        <v>0.17430555555555557</v>
      </c>
      <c r="T16" s="32">
        <v>0.24097222222222225</v>
      </c>
      <c r="U16" s="503">
        <f t="shared" ref="U16:U21" si="18">IF(S16=TIME(17,0,0),"",(S16-T15)*24*60)</f>
        <v>27.000000000000025</v>
      </c>
      <c r="V16" s="509">
        <f t="shared" si="17"/>
        <v>96.000000000000014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-61.250000000000227</v>
      </c>
      <c r="AF16" s="504">
        <f t="shared" si="9"/>
        <v>0.9591666666666665</v>
      </c>
      <c r="AG16" s="616"/>
    </row>
    <row r="17" spans="1:33" ht="16.5" customHeight="1">
      <c r="A17" s="637" t="s">
        <v>2581</v>
      </c>
      <c r="B17" s="510" t="s">
        <v>11</v>
      </c>
      <c r="C17" s="659" t="s">
        <v>12</v>
      </c>
      <c r="D17" s="659"/>
      <c r="E17" s="27">
        <v>41</v>
      </c>
      <c r="F17" s="510">
        <v>1921</v>
      </c>
      <c r="G17" s="503">
        <f t="shared" si="15"/>
        <v>78761</v>
      </c>
      <c r="H17" s="31" t="s">
        <v>40</v>
      </c>
      <c r="I17" s="508">
        <v>26</v>
      </c>
      <c r="J17" s="29">
        <v>1500</v>
      </c>
      <c r="K17" s="12">
        <f t="shared" si="1"/>
        <v>57.692307692307693</v>
      </c>
      <c r="L17" s="508">
        <v>26</v>
      </c>
      <c r="M17" s="13">
        <f t="shared" si="16"/>
        <v>1440.75</v>
      </c>
      <c r="N17" s="12">
        <f t="shared" si="3"/>
        <v>55.41346153846154</v>
      </c>
      <c r="O17" s="14">
        <f t="shared" si="4"/>
        <v>0</v>
      </c>
      <c r="P17" s="15">
        <f t="shared" si="5"/>
        <v>-2.2788461538461533</v>
      </c>
      <c r="Q17" s="504">
        <f t="shared" si="6"/>
        <v>0.96050000000000002</v>
      </c>
      <c r="R17" s="616"/>
      <c r="S17" s="32">
        <v>0.24513888888888893</v>
      </c>
      <c r="T17" s="32">
        <v>0.30069444444444449</v>
      </c>
      <c r="U17" s="503">
        <f t="shared" si="18"/>
        <v>6.0000000000000187</v>
      </c>
      <c r="V17" s="509">
        <f t="shared" si="17"/>
        <v>80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-59.25</v>
      </c>
      <c r="AF17" s="504">
        <f t="shared" si="9"/>
        <v>0.96050000000000002</v>
      </c>
      <c r="AG17" s="616"/>
    </row>
    <row r="18" spans="1:33" ht="16.5" customHeight="1">
      <c r="A18" s="637" t="s">
        <v>2581</v>
      </c>
      <c r="B18" s="510" t="s">
        <v>5</v>
      </c>
      <c r="C18" s="659" t="s">
        <v>66</v>
      </c>
      <c r="D18" s="659"/>
      <c r="E18" s="27">
        <v>37.03</v>
      </c>
      <c r="F18" s="510">
        <v>3383</v>
      </c>
      <c r="G18" s="503">
        <f t="shared" si="15"/>
        <v>125272.49</v>
      </c>
      <c r="H18" s="31" t="s">
        <v>40</v>
      </c>
      <c r="I18" s="508">
        <v>13</v>
      </c>
      <c r="J18" s="29">
        <v>1500</v>
      </c>
      <c r="K18" s="12">
        <f t="shared" si="1"/>
        <v>115.38461538461539</v>
      </c>
      <c r="L18" s="508">
        <v>13</v>
      </c>
      <c r="M18" s="13">
        <f t="shared" si="16"/>
        <v>1429.4366197183101</v>
      </c>
      <c r="N18" s="12">
        <f t="shared" si="3"/>
        <v>109.95666305525462</v>
      </c>
      <c r="O18" s="14">
        <f t="shared" si="4"/>
        <v>0</v>
      </c>
      <c r="P18" s="15">
        <f t="shared" si="5"/>
        <v>-5.4279523293607639</v>
      </c>
      <c r="Q18" s="504">
        <f t="shared" si="6"/>
        <v>0.95295774647887344</v>
      </c>
      <c r="R18" s="616"/>
      <c r="S18" s="32">
        <v>0.30625000000000002</v>
      </c>
      <c r="T18" s="32">
        <v>0.40486111111111112</v>
      </c>
      <c r="U18" s="503">
        <f t="shared" si="18"/>
        <v>7.9999999999999716</v>
      </c>
      <c r="V18" s="509">
        <f t="shared" si="17"/>
        <v>141.99999999999997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-70.563380281689888</v>
      </c>
      <c r="AF18" s="504">
        <f t="shared" si="9"/>
        <v>0.95295774647887344</v>
      </c>
      <c r="AG18" s="616"/>
    </row>
    <row r="19" spans="1:33" ht="16.5" customHeight="1">
      <c r="A19" s="637" t="s">
        <v>2581</v>
      </c>
      <c r="B19" s="510" t="s">
        <v>5</v>
      </c>
      <c r="C19" s="659" t="s">
        <v>6</v>
      </c>
      <c r="D19" s="659"/>
      <c r="E19" s="27">
        <v>50.67</v>
      </c>
      <c r="F19" s="510">
        <v>1528</v>
      </c>
      <c r="G19" s="503">
        <f t="shared" si="15"/>
        <v>77423.760000000009</v>
      </c>
      <c r="H19" s="31" t="s">
        <v>40</v>
      </c>
      <c r="I19" s="508">
        <v>17</v>
      </c>
      <c r="J19" s="29">
        <v>2000</v>
      </c>
      <c r="K19" s="12">
        <f t="shared" si="1"/>
        <v>117.64705882352941</v>
      </c>
      <c r="L19" s="508">
        <v>17</v>
      </c>
      <c r="M19" s="13">
        <f t="shared" si="16"/>
        <v>1910.0000000000005</v>
      </c>
      <c r="N19" s="12">
        <f t="shared" si="3"/>
        <v>112.35294117647061</v>
      </c>
      <c r="O19" s="14">
        <f t="shared" si="4"/>
        <v>0</v>
      </c>
      <c r="P19" s="15">
        <f t="shared" si="5"/>
        <v>-5.2941176470587976</v>
      </c>
      <c r="Q19" s="504">
        <f t="shared" si="6"/>
        <v>0.95500000000000018</v>
      </c>
      <c r="R19" s="616"/>
      <c r="S19" s="32">
        <v>0.70833333333333337</v>
      </c>
      <c r="T19" s="32">
        <v>0.7416666666666667</v>
      </c>
      <c r="U19" s="503" t="str">
        <f t="shared" si="18"/>
        <v/>
      </c>
      <c r="V19" s="509">
        <f t="shared" si="17"/>
        <v>47.999999999999986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-89.999999999999545</v>
      </c>
      <c r="AF19" s="504">
        <f t="shared" si="9"/>
        <v>0.95500000000000018</v>
      </c>
      <c r="AG19" s="616"/>
    </row>
    <row r="20" spans="1:33" ht="16.5" customHeight="1">
      <c r="A20" s="637" t="s">
        <v>2581</v>
      </c>
      <c r="B20" s="510" t="s">
        <v>5</v>
      </c>
      <c r="C20" s="506" t="s">
        <v>615</v>
      </c>
      <c r="D20" s="507"/>
      <c r="E20" s="27">
        <v>54.5</v>
      </c>
      <c r="F20" s="510">
        <v>1969</v>
      </c>
      <c r="G20" s="503">
        <f t="shared" si="15"/>
        <v>107310.5</v>
      </c>
      <c r="H20" s="31" t="s">
        <v>40</v>
      </c>
      <c r="I20" s="508">
        <v>20</v>
      </c>
      <c r="J20" s="29">
        <v>1500</v>
      </c>
      <c r="K20" s="12">
        <f t="shared" si="1"/>
        <v>75</v>
      </c>
      <c r="L20" s="508">
        <v>20</v>
      </c>
      <c r="M20" s="13">
        <f t="shared" si="16"/>
        <v>1440.7317073170727</v>
      </c>
      <c r="N20" s="12">
        <f t="shared" si="3"/>
        <v>72.036585365853639</v>
      </c>
      <c r="O20" s="14">
        <f t="shared" si="4"/>
        <v>0</v>
      </c>
      <c r="P20" s="15">
        <f t="shared" si="5"/>
        <v>-2.9634146341463605</v>
      </c>
      <c r="Q20" s="504">
        <f t="shared" si="6"/>
        <v>0.96048780487804852</v>
      </c>
      <c r="R20" s="616"/>
      <c r="S20" s="32">
        <v>0.74652777777777779</v>
      </c>
      <c r="T20" s="32">
        <v>0.80347222222222225</v>
      </c>
      <c r="U20" s="503">
        <f t="shared" si="18"/>
        <v>6.9999999999999751</v>
      </c>
      <c r="V20" s="509">
        <f t="shared" si="17"/>
        <v>82.000000000000028</v>
      </c>
      <c r="W20" s="16"/>
      <c r="X20" s="16"/>
      <c r="Y20" s="19"/>
      <c r="Z20" s="19"/>
      <c r="AA20" s="499"/>
      <c r="AB20" s="500"/>
      <c r="AC20" s="18"/>
      <c r="AD20" s="18"/>
      <c r="AE20" s="14">
        <f t="shared" si="8"/>
        <v>-59.268292682927267</v>
      </c>
      <c r="AF20" s="504">
        <f t="shared" si="9"/>
        <v>0.96048780487804852</v>
      </c>
      <c r="AG20" s="616"/>
    </row>
    <row r="21" spans="1:33" ht="16.5" customHeight="1">
      <c r="A21" s="637" t="s">
        <v>2581</v>
      </c>
      <c r="B21" s="510" t="s">
        <v>5</v>
      </c>
      <c r="C21" s="506" t="s">
        <v>18</v>
      </c>
      <c r="D21" s="507"/>
      <c r="E21" s="27">
        <v>50.49</v>
      </c>
      <c r="F21" s="510">
        <v>1883</v>
      </c>
      <c r="G21" s="503">
        <f t="shared" si="15"/>
        <v>95072.67</v>
      </c>
      <c r="H21" s="31" t="s">
        <v>40</v>
      </c>
      <c r="I21" s="508">
        <v>15</v>
      </c>
      <c r="J21" s="29">
        <v>2000</v>
      </c>
      <c r="K21" s="12">
        <f t="shared" si="1"/>
        <v>133.33333333333334</v>
      </c>
      <c r="L21" s="508">
        <v>15</v>
      </c>
      <c r="M21" s="13">
        <f t="shared" si="16"/>
        <v>1914.9152542372899</v>
      </c>
      <c r="N21" s="12">
        <f t="shared" si="3"/>
        <v>127.66101694915265</v>
      </c>
      <c r="O21" s="14">
        <f t="shared" si="4"/>
        <v>0</v>
      </c>
      <c r="P21" s="15">
        <f t="shared" si="5"/>
        <v>-5.6723163841806894</v>
      </c>
      <c r="Q21" s="504">
        <f t="shared" si="6"/>
        <v>0.95745762711864479</v>
      </c>
      <c r="R21" s="616"/>
      <c r="S21" s="32">
        <v>0.80763888888888891</v>
      </c>
      <c r="T21" s="32">
        <v>0.84861111111111109</v>
      </c>
      <c r="U21" s="503">
        <f t="shared" si="18"/>
        <v>5.9999999999999787</v>
      </c>
      <c r="V21" s="509">
        <f t="shared" si="17"/>
        <v>58.99999999999995</v>
      </c>
      <c r="W21" s="16"/>
      <c r="X21" s="16"/>
      <c r="Y21" s="19"/>
      <c r="Z21" s="19"/>
      <c r="AA21" s="499"/>
      <c r="AB21" s="500"/>
      <c r="AC21" s="18"/>
      <c r="AD21" s="18"/>
      <c r="AE21" s="14">
        <f t="shared" si="8"/>
        <v>-85.084745762710099</v>
      </c>
      <c r="AF21" s="504">
        <f t="shared" si="9"/>
        <v>0.95745762711864491</v>
      </c>
      <c r="AG21" s="616"/>
    </row>
    <row r="22" spans="1:33" ht="16.5" customHeight="1">
      <c r="A22" s="637" t="s">
        <v>2581</v>
      </c>
      <c r="B22" s="27" t="s">
        <v>2579</v>
      </c>
      <c r="C22" s="658"/>
      <c r="D22" s="658"/>
      <c r="E22" s="505"/>
      <c r="F22" s="28"/>
      <c r="G22" s="12"/>
      <c r="H22" s="510"/>
      <c r="I22" s="21">
        <v>18.428571428571427</v>
      </c>
      <c r="J22" s="29">
        <v>1714.2857142857142</v>
      </c>
      <c r="K22" s="12">
        <f t="shared" si="1"/>
        <v>93.023255813953497</v>
      </c>
      <c r="L22" s="21">
        <v>18.428571428571427</v>
      </c>
      <c r="M22" s="13">
        <f>AVERAGE(M15:M21)</f>
        <v>1640.105346775217</v>
      </c>
      <c r="N22" s="12">
        <f t="shared" si="3"/>
        <v>88.997964553693947</v>
      </c>
      <c r="O22" s="14">
        <f t="shared" si="4"/>
        <v>0</v>
      </c>
      <c r="P22" s="15">
        <f t="shared" si="5"/>
        <v>-4.0252912602595501</v>
      </c>
      <c r="Q22" s="504">
        <f t="shared" si="6"/>
        <v>0.95672811895220988</v>
      </c>
      <c r="R22" s="616"/>
      <c r="S22" s="32"/>
      <c r="T22" s="32"/>
      <c r="U22" s="503"/>
      <c r="V22" s="509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-74.180367510497263</v>
      </c>
      <c r="AF22" s="504">
        <f t="shared" si="9"/>
        <v>0.95672811895220988</v>
      </c>
      <c r="AG22" s="616"/>
    </row>
    <row r="23" spans="1:33" ht="15.75" customHeight="1">
      <c r="A23" s="634" t="s">
        <v>2582</v>
      </c>
      <c r="B23" s="27" t="s">
        <v>5</v>
      </c>
      <c r="C23" s="659" t="s">
        <v>16</v>
      </c>
      <c r="D23" s="659"/>
      <c r="E23" s="27">
        <v>50.67</v>
      </c>
      <c r="F23" s="510">
        <v>1776</v>
      </c>
      <c r="G23" s="503">
        <f t="shared" ref="G23:G29" si="19">E23*F23</f>
        <v>89989.92</v>
      </c>
      <c r="H23" s="31" t="s">
        <v>40</v>
      </c>
      <c r="I23" s="508">
        <v>17</v>
      </c>
      <c r="J23" s="29">
        <v>2000</v>
      </c>
      <c r="K23" s="12">
        <f t="shared" si="1"/>
        <v>117.64705882352941</v>
      </c>
      <c r="L23" s="508">
        <v>17</v>
      </c>
      <c r="M23" s="13">
        <f t="shared" ref="M23:M29" si="20">F23/V23*60</f>
        <v>1937.4545454545453</v>
      </c>
      <c r="N23" s="12">
        <f t="shared" si="3"/>
        <v>113.96791443850266</v>
      </c>
      <c r="O23" s="14">
        <f t="shared" si="4"/>
        <v>0</v>
      </c>
      <c r="P23" s="15">
        <f t="shared" si="5"/>
        <v>-3.6791443850267456</v>
      </c>
      <c r="Q23" s="504">
        <f t="shared" si="6"/>
        <v>0.96872727272727266</v>
      </c>
      <c r="R23" s="616">
        <f>Q30</f>
        <v>0.96233800570726158</v>
      </c>
      <c r="S23" s="32">
        <v>0.20833333333333334</v>
      </c>
      <c r="T23" s="32">
        <v>0.24652777777777779</v>
      </c>
      <c r="U23" s="503"/>
      <c r="V23" s="509">
        <f t="shared" ref="V23:V29" si="21">(T23-S23)*24*60</f>
        <v>55.000000000000007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-62.545454545454731</v>
      </c>
      <c r="AF23" s="504">
        <f t="shared" si="9"/>
        <v>0.96872727272727266</v>
      </c>
      <c r="AG23" s="616">
        <f>AF30</f>
        <v>0.96233800570726169</v>
      </c>
    </row>
    <row r="24" spans="1:33" ht="15.75" customHeight="1">
      <c r="A24" s="635" t="s">
        <v>2582</v>
      </c>
      <c r="B24" s="27" t="s">
        <v>5</v>
      </c>
      <c r="C24" s="659" t="s">
        <v>17</v>
      </c>
      <c r="D24" s="659"/>
      <c r="E24" s="27">
        <v>57.73</v>
      </c>
      <c r="F24" s="510">
        <v>2298</v>
      </c>
      <c r="G24" s="503">
        <f t="shared" si="19"/>
        <v>132663.53999999998</v>
      </c>
      <c r="H24" s="31" t="s">
        <v>40</v>
      </c>
      <c r="I24" s="508">
        <v>14</v>
      </c>
      <c r="J24" s="29">
        <v>2000</v>
      </c>
      <c r="K24" s="12">
        <f t="shared" si="1"/>
        <v>142.85714285714286</v>
      </c>
      <c r="L24" s="508">
        <v>14</v>
      </c>
      <c r="M24" s="13">
        <f t="shared" si="20"/>
        <v>1915.0000000000002</v>
      </c>
      <c r="N24" s="12">
        <f t="shared" si="3"/>
        <v>136.78571428571431</v>
      </c>
      <c r="O24" s="14">
        <f t="shared" si="4"/>
        <v>0</v>
      </c>
      <c r="P24" s="15">
        <f t="shared" si="5"/>
        <v>-6.0714285714285552</v>
      </c>
      <c r="Q24" s="504">
        <f t="shared" si="6"/>
        <v>0.95750000000000013</v>
      </c>
      <c r="R24" s="616"/>
      <c r="S24" s="32">
        <v>0.25069444444444444</v>
      </c>
      <c r="T24" s="32">
        <v>0.30069444444444443</v>
      </c>
      <c r="U24" s="503">
        <f t="shared" ref="U24:U29" si="22">IF(S24=TIME(17,0,0),"",(S24-T23)*24*60)</f>
        <v>5.9999999999999787</v>
      </c>
      <c r="V24" s="509">
        <f t="shared" si="21"/>
        <v>71.999999999999986</v>
      </c>
      <c r="W24" s="16"/>
      <c r="X24" s="503"/>
      <c r="Y24" s="503"/>
      <c r="Z24" s="503"/>
      <c r="AA24" s="612"/>
      <c r="AB24" s="612"/>
      <c r="AC24" s="18"/>
      <c r="AD24" s="18"/>
      <c r="AE24" s="14">
        <f t="shared" si="8"/>
        <v>-84.999999999999773</v>
      </c>
      <c r="AF24" s="504">
        <f t="shared" si="9"/>
        <v>0.95750000000000013</v>
      </c>
      <c r="AG24" s="616"/>
    </row>
    <row r="25" spans="1:33" ht="15.75" customHeight="1">
      <c r="A25" s="635" t="s">
        <v>2582</v>
      </c>
      <c r="B25" s="27" t="s">
        <v>5</v>
      </c>
      <c r="C25" s="659" t="s">
        <v>60</v>
      </c>
      <c r="D25" s="659"/>
      <c r="E25" s="27">
        <v>53.27</v>
      </c>
      <c r="F25" s="510">
        <v>1558</v>
      </c>
      <c r="G25" s="503">
        <f t="shared" si="19"/>
        <v>82994.66</v>
      </c>
      <c r="H25" s="31" t="s">
        <v>40</v>
      </c>
      <c r="I25" s="508">
        <v>16</v>
      </c>
      <c r="J25" s="29">
        <v>2000</v>
      </c>
      <c r="K25" s="12">
        <f t="shared" si="1"/>
        <v>125</v>
      </c>
      <c r="L25" s="508">
        <v>16</v>
      </c>
      <c r="M25" s="13">
        <f t="shared" si="20"/>
        <v>1907.7551020408171</v>
      </c>
      <c r="N25" s="12">
        <f t="shared" si="3"/>
        <v>119.23469387755107</v>
      </c>
      <c r="O25" s="14">
        <f t="shared" si="4"/>
        <v>0</v>
      </c>
      <c r="P25" s="15">
        <f t="shared" si="5"/>
        <v>-5.7653061224489335</v>
      </c>
      <c r="Q25" s="504">
        <f t="shared" si="6"/>
        <v>0.9538775510204085</v>
      </c>
      <c r="R25" s="616"/>
      <c r="S25" s="32">
        <v>0.30624999999999997</v>
      </c>
      <c r="T25" s="32">
        <v>0.34027777777777773</v>
      </c>
      <c r="U25" s="503">
        <f t="shared" si="22"/>
        <v>7.9999999999999716</v>
      </c>
      <c r="V25" s="509">
        <f t="shared" si="21"/>
        <v>48.999999999999986</v>
      </c>
      <c r="W25" s="16"/>
      <c r="X25" s="503"/>
      <c r="Y25" s="503"/>
      <c r="Z25" s="503"/>
      <c r="AA25" s="612"/>
      <c r="AB25" s="612"/>
      <c r="AC25" s="18"/>
      <c r="AD25" s="18"/>
      <c r="AE25" s="14">
        <f t="shared" si="8"/>
        <v>-92.244897959182936</v>
      </c>
      <c r="AF25" s="504">
        <f t="shared" si="9"/>
        <v>0.9538775510204085</v>
      </c>
      <c r="AG25" s="616"/>
    </row>
    <row r="26" spans="1:33" ht="15.75" customHeight="1">
      <c r="A26" s="635" t="s">
        <v>2582</v>
      </c>
      <c r="B26" s="27" t="s">
        <v>5</v>
      </c>
      <c r="C26" s="659" t="s">
        <v>65</v>
      </c>
      <c r="D26" s="659"/>
      <c r="E26" s="27">
        <v>56.43</v>
      </c>
      <c r="F26" s="510">
        <v>1613</v>
      </c>
      <c r="G26" s="503">
        <f t="shared" si="19"/>
        <v>91021.59</v>
      </c>
      <c r="H26" s="31" t="s">
        <v>40</v>
      </c>
      <c r="I26" s="508">
        <v>13</v>
      </c>
      <c r="J26" s="29">
        <v>2000</v>
      </c>
      <c r="K26" s="12">
        <f t="shared" si="1"/>
        <v>153.84615384615384</v>
      </c>
      <c r="L26" s="508">
        <v>13</v>
      </c>
      <c r="M26" s="13">
        <f t="shared" si="20"/>
        <v>1935.6000000000008</v>
      </c>
      <c r="N26" s="12">
        <f t="shared" si="3"/>
        <v>148.89230769230775</v>
      </c>
      <c r="O26" s="14">
        <f t="shared" si="4"/>
        <v>0</v>
      </c>
      <c r="P26" s="15">
        <f t="shared" si="5"/>
        <v>-4.9538461538460865</v>
      </c>
      <c r="Q26" s="504">
        <f t="shared" si="6"/>
        <v>0.96780000000000044</v>
      </c>
      <c r="R26" s="616"/>
      <c r="S26" s="32">
        <v>0.70833333333333337</v>
      </c>
      <c r="T26" s="32">
        <v>0.74305555555555558</v>
      </c>
      <c r="U26" s="503" t="str">
        <f t="shared" si="22"/>
        <v/>
      </c>
      <c r="V26" s="509">
        <f t="shared" si="21"/>
        <v>49.999999999999986</v>
      </c>
      <c r="W26" s="16"/>
      <c r="X26" s="503"/>
      <c r="Y26" s="503"/>
      <c r="Z26" s="503"/>
      <c r="AA26" s="612"/>
      <c r="AB26" s="612"/>
      <c r="AC26" s="18"/>
      <c r="AD26" s="18"/>
      <c r="AE26" s="14">
        <f t="shared" si="8"/>
        <v>-64.399999999999181</v>
      </c>
      <c r="AF26" s="504">
        <f t="shared" si="9"/>
        <v>0.96780000000000044</v>
      </c>
      <c r="AG26" s="616"/>
    </row>
    <row r="27" spans="1:33" ht="15.75" customHeight="1">
      <c r="A27" s="635" t="s">
        <v>2582</v>
      </c>
      <c r="B27" s="27" t="s">
        <v>5</v>
      </c>
      <c r="C27" s="659" t="s">
        <v>1322</v>
      </c>
      <c r="D27" s="659"/>
      <c r="E27" s="27">
        <v>54.09</v>
      </c>
      <c r="F27" s="510">
        <v>2454</v>
      </c>
      <c r="G27" s="503">
        <f t="shared" si="19"/>
        <v>132736.86000000002</v>
      </c>
      <c r="H27" s="31" t="s">
        <v>40</v>
      </c>
      <c r="I27" s="508">
        <v>18</v>
      </c>
      <c r="J27" s="29">
        <v>2000</v>
      </c>
      <c r="K27" s="12">
        <f t="shared" si="1"/>
        <v>111.11111111111111</v>
      </c>
      <c r="L27" s="508">
        <v>18</v>
      </c>
      <c r="M27" s="13">
        <f t="shared" si="20"/>
        <v>1912.207792207791</v>
      </c>
      <c r="N27" s="12">
        <f t="shared" si="3"/>
        <v>106.23376623376618</v>
      </c>
      <c r="O27" s="14">
        <f t="shared" si="4"/>
        <v>0</v>
      </c>
      <c r="P27" s="15">
        <f t="shared" si="5"/>
        <v>-4.8773448773449388</v>
      </c>
      <c r="Q27" s="504">
        <f t="shared" si="6"/>
        <v>0.95610389610389557</v>
      </c>
      <c r="R27" s="616"/>
      <c r="S27" s="32">
        <v>0.74722222222222223</v>
      </c>
      <c r="T27" s="32">
        <v>0.80069444444444449</v>
      </c>
      <c r="U27" s="503">
        <f t="shared" si="22"/>
        <v>5.9999999999999787</v>
      </c>
      <c r="V27" s="509">
        <f t="shared" si="21"/>
        <v>77.000000000000043</v>
      </c>
      <c r="W27" s="16"/>
      <c r="X27" s="16"/>
      <c r="Y27" s="503"/>
      <c r="Z27" s="503"/>
      <c r="AA27" s="612"/>
      <c r="AB27" s="612"/>
      <c r="AC27" s="18"/>
      <c r="AD27" s="18"/>
      <c r="AE27" s="14">
        <f t="shared" si="8"/>
        <v>-87.792207792208956</v>
      </c>
      <c r="AF27" s="504">
        <f t="shared" si="9"/>
        <v>0.95610389610389557</v>
      </c>
      <c r="AG27" s="616"/>
    </row>
    <row r="28" spans="1:33" ht="15.75" customHeight="1">
      <c r="A28" s="635" t="s">
        <v>2582</v>
      </c>
      <c r="B28" s="27" t="s">
        <v>5</v>
      </c>
      <c r="C28" s="659" t="s">
        <v>1930</v>
      </c>
      <c r="D28" s="659"/>
      <c r="E28" s="27">
        <v>57.3</v>
      </c>
      <c r="F28" s="510">
        <v>1000</v>
      </c>
      <c r="G28" s="503">
        <f t="shared" si="19"/>
        <v>57300</v>
      </c>
      <c r="H28" s="31">
        <v>2</v>
      </c>
      <c r="I28" s="508">
        <v>16</v>
      </c>
      <c r="J28" s="29">
        <v>2000</v>
      </c>
      <c r="K28" s="12">
        <f t="shared" si="1"/>
        <v>125</v>
      </c>
      <c r="L28" s="508">
        <v>16</v>
      </c>
      <c r="M28" s="13">
        <f t="shared" si="20"/>
        <v>1935.483870967739</v>
      </c>
      <c r="N28" s="12">
        <f t="shared" si="3"/>
        <v>120.96774193548369</v>
      </c>
      <c r="O28" s="14">
        <f t="shared" si="4"/>
        <v>0</v>
      </c>
      <c r="P28" s="15">
        <f t="shared" si="5"/>
        <v>-4.0322580645163129</v>
      </c>
      <c r="Q28" s="504">
        <f t="shared" si="6"/>
        <v>0.96774193548386944</v>
      </c>
      <c r="R28" s="616"/>
      <c r="S28" s="32">
        <v>0.80486111111111114</v>
      </c>
      <c r="T28" s="32">
        <v>0.82638888888888895</v>
      </c>
      <c r="U28" s="503">
        <f t="shared" si="22"/>
        <v>5.9999999999999787</v>
      </c>
      <c r="V28" s="509">
        <f t="shared" si="21"/>
        <v>31.00000000000005</v>
      </c>
      <c r="W28" s="16">
        <f>T28</f>
        <v>0.82638888888888895</v>
      </c>
      <c r="X28" s="16">
        <f>S29</f>
        <v>0.8666666666666667</v>
      </c>
      <c r="Y28" s="20"/>
      <c r="Z28" s="20"/>
      <c r="AA28" s="612"/>
      <c r="AB28" s="612"/>
      <c r="AC28" s="18"/>
      <c r="AD28" s="18"/>
      <c r="AE28" s="14">
        <f t="shared" si="8"/>
        <v>-64.516129032261006</v>
      </c>
      <c r="AF28" s="504">
        <f t="shared" si="9"/>
        <v>0.96774193548386944</v>
      </c>
      <c r="AG28" s="616"/>
    </row>
    <row r="29" spans="1:33" ht="15.75" customHeight="1">
      <c r="A29" s="635" t="s">
        <v>2582</v>
      </c>
      <c r="B29" s="27" t="s">
        <v>5</v>
      </c>
      <c r="C29" s="631" t="s">
        <v>1930</v>
      </c>
      <c r="D29" s="632"/>
      <c r="E29" s="27">
        <v>57.3</v>
      </c>
      <c r="F29" s="510">
        <v>1672</v>
      </c>
      <c r="G29" s="503">
        <f t="shared" si="19"/>
        <v>95805.599999999991</v>
      </c>
      <c r="H29" s="31" t="s">
        <v>40</v>
      </c>
      <c r="I29" s="508">
        <v>16</v>
      </c>
      <c r="J29" s="29">
        <v>2000</v>
      </c>
      <c r="K29" s="12">
        <f t="shared" si="1"/>
        <v>125</v>
      </c>
      <c r="L29" s="508">
        <v>16</v>
      </c>
      <c r="M29" s="13">
        <f t="shared" si="20"/>
        <v>1929.2307692307704</v>
      </c>
      <c r="N29" s="12">
        <f t="shared" si="3"/>
        <v>120.57692307692315</v>
      </c>
      <c r="O29" s="14">
        <f t="shared" si="4"/>
        <v>0</v>
      </c>
      <c r="P29" s="15">
        <f t="shared" si="5"/>
        <v>-4.4230769230768487</v>
      </c>
      <c r="Q29" s="504">
        <f t="shared" si="6"/>
        <v>0.96461538461538521</v>
      </c>
      <c r="R29" s="616"/>
      <c r="S29" s="32">
        <v>0.8666666666666667</v>
      </c>
      <c r="T29" s="32">
        <v>0.90277777777777779</v>
      </c>
      <c r="U29" s="503">
        <f t="shared" si="22"/>
        <v>57.999999999999957</v>
      </c>
      <c r="V29" s="509">
        <f t="shared" si="21"/>
        <v>51.999999999999972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-70.76923076922958</v>
      </c>
      <c r="AF29" s="504">
        <f t="shared" si="9"/>
        <v>0.96461538461538521</v>
      </c>
      <c r="AG29" s="616"/>
    </row>
    <row r="30" spans="1:33" ht="15.75" customHeight="1">
      <c r="A30" s="635" t="s">
        <v>2582</v>
      </c>
      <c r="B30" s="27" t="s">
        <v>2579</v>
      </c>
      <c r="C30" s="658"/>
      <c r="D30" s="658"/>
      <c r="E30" s="505"/>
      <c r="F30" s="510"/>
      <c r="G30" s="503"/>
      <c r="H30" s="510"/>
      <c r="I30" s="21">
        <v>15.714285714285714</v>
      </c>
      <c r="J30" s="29">
        <v>2000</v>
      </c>
      <c r="K30" s="12">
        <f t="shared" si="1"/>
        <v>127.27272727272728</v>
      </c>
      <c r="L30" s="21">
        <v>15.714285714285714</v>
      </c>
      <c r="M30" s="13">
        <f>AVERAGE(M23:M29)</f>
        <v>1924.6760114145234</v>
      </c>
      <c r="N30" s="12">
        <f t="shared" si="3"/>
        <v>122.47938254456058</v>
      </c>
      <c r="O30" s="14">
        <f t="shared" si="4"/>
        <v>0</v>
      </c>
      <c r="P30" s="15">
        <f t="shared" si="5"/>
        <v>-4.7933447281667014</v>
      </c>
      <c r="Q30" s="504">
        <f t="shared" si="6"/>
        <v>0.96233800570726158</v>
      </c>
      <c r="R30" s="616"/>
      <c r="S30" s="32"/>
      <c r="T30" s="32"/>
      <c r="U30" s="12"/>
      <c r="V30" s="509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-75.323988585476627</v>
      </c>
      <c r="AF30" s="504">
        <f t="shared" si="9"/>
        <v>0.96233800570726169</v>
      </c>
      <c r="AG30" s="616"/>
    </row>
    <row r="31" spans="1:33" ht="15.75" customHeight="1">
      <c r="A31" s="633" t="s">
        <v>2583</v>
      </c>
      <c r="B31" s="27" t="s">
        <v>20</v>
      </c>
      <c r="C31" s="659" t="s">
        <v>21</v>
      </c>
      <c r="D31" s="659"/>
      <c r="E31" s="27">
        <v>31.29</v>
      </c>
      <c r="F31" s="510">
        <v>4800</v>
      </c>
      <c r="G31" s="503">
        <f t="shared" ref="G31:G38" si="23">E31*F31</f>
        <v>150192</v>
      </c>
      <c r="H31" s="31">
        <v>2</v>
      </c>
      <c r="I31" s="508">
        <v>18</v>
      </c>
      <c r="J31" s="29">
        <v>2400</v>
      </c>
      <c r="K31" s="12">
        <f t="shared" si="1"/>
        <v>133.33333333333334</v>
      </c>
      <c r="L31" s="508">
        <v>18</v>
      </c>
      <c r="M31" s="13">
        <f t="shared" ref="M31:M38" si="24">F31/V31*60</f>
        <v>2285.7142857142858</v>
      </c>
      <c r="N31" s="12">
        <f t="shared" si="3"/>
        <v>126.98412698412699</v>
      </c>
      <c r="O31" s="14">
        <f t="shared" si="4"/>
        <v>0</v>
      </c>
      <c r="P31" s="15">
        <f t="shared" si="5"/>
        <v>-6.3492063492063551</v>
      </c>
      <c r="Q31" s="504">
        <f t="shared" si="6"/>
        <v>0.95238095238095233</v>
      </c>
      <c r="R31" s="616">
        <f>Q39</f>
        <v>0.95537421594684513</v>
      </c>
      <c r="S31" s="32">
        <v>8.3333333333333329E-2</v>
      </c>
      <c r="T31" s="32">
        <v>0.17083333333333334</v>
      </c>
      <c r="U31" s="503"/>
      <c r="V31" s="509">
        <f t="shared" ref="V31:V38" si="25">(T31-S31)*24*60</f>
        <v>126</v>
      </c>
      <c r="W31" s="16">
        <f>T31</f>
        <v>0.17083333333333334</v>
      </c>
      <c r="X31" s="16">
        <f>S32</f>
        <v>0.18888888888888888</v>
      </c>
      <c r="Y31" s="16"/>
      <c r="Z31" s="16"/>
      <c r="AA31" s="612"/>
      <c r="AB31" s="612"/>
      <c r="AC31" s="18">
        <v>8</v>
      </c>
      <c r="AD31" s="18"/>
      <c r="AE31" s="14">
        <f t="shared" si="8"/>
        <v>-114.28571428571422</v>
      </c>
      <c r="AF31" s="504">
        <f t="shared" si="9"/>
        <v>0.95238095238095244</v>
      </c>
      <c r="AG31" s="616">
        <f>AF39</f>
        <v>0.95537421594684513</v>
      </c>
    </row>
    <row r="32" spans="1:33" ht="15.75" customHeight="1">
      <c r="A32" s="633" t="s">
        <v>2583</v>
      </c>
      <c r="B32" s="27" t="s">
        <v>20</v>
      </c>
      <c r="C32" s="659" t="s">
        <v>22</v>
      </c>
      <c r="D32" s="659"/>
      <c r="E32" s="27">
        <v>26.37</v>
      </c>
      <c r="F32" s="510">
        <v>6363</v>
      </c>
      <c r="G32" s="503">
        <f t="shared" si="23"/>
        <v>167792.31</v>
      </c>
      <c r="H32" s="31" t="s">
        <v>40</v>
      </c>
      <c r="I32" s="508">
        <v>18</v>
      </c>
      <c r="J32" s="29">
        <v>2400</v>
      </c>
      <c r="K32" s="12">
        <f t="shared" si="1"/>
        <v>133.33333333333334</v>
      </c>
      <c r="L32" s="508">
        <v>18</v>
      </c>
      <c r="M32" s="13">
        <f t="shared" si="24"/>
        <v>2286.1077844311385</v>
      </c>
      <c r="N32" s="12">
        <f t="shared" si="3"/>
        <v>127.00598802395214</v>
      </c>
      <c r="O32" s="14">
        <f t="shared" si="4"/>
        <v>0</v>
      </c>
      <c r="P32" s="15">
        <f t="shared" si="5"/>
        <v>-6.3273453093812009</v>
      </c>
      <c r="Q32" s="504">
        <f t="shared" si="6"/>
        <v>0.95254491017964105</v>
      </c>
      <c r="R32" s="616"/>
      <c r="S32" s="32">
        <v>0.18888888888888888</v>
      </c>
      <c r="T32" s="32">
        <v>0.30486111111111108</v>
      </c>
      <c r="U32" s="503">
        <f t="shared" ref="U32:U38" si="26">(S32-T31)*24*60</f>
        <v>25.999999999999986</v>
      </c>
      <c r="V32" s="509">
        <f t="shared" si="25"/>
        <v>166.99999999999997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-113.8922155688615</v>
      </c>
      <c r="AF32" s="504">
        <f t="shared" si="9"/>
        <v>0.95254491017964105</v>
      </c>
      <c r="AG32" s="616"/>
    </row>
    <row r="33" spans="1:33" ht="15.75" customHeight="1">
      <c r="A33" s="633" t="s">
        <v>2583</v>
      </c>
      <c r="B33" s="27" t="s">
        <v>20</v>
      </c>
      <c r="C33" s="659" t="s">
        <v>57</v>
      </c>
      <c r="D33" s="659"/>
      <c r="E33" s="27">
        <v>26.18</v>
      </c>
      <c r="F33" s="510">
        <v>4400</v>
      </c>
      <c r="G33" s="503">
        <f t="shared" si="23"/>
        <v>115192</v>
      </c>
      <c r="H33" s="31">
        <v>2</v>
      </c>
      <c r="I33" s="508">
        <v>18</v>
      </c>
      <c r="J33" s="29">
        <v>2400</v>
      </c>
      <c r="K33" s="12">
        <f t="shared" si="1"/>
        <v>133.33333333333334</v>
      </c>
      <c r="L33" s="508">
        <v>18</v>
      </c>
      <c r="M33" s="13">
        <f t="shared" si="24"/>
        <v>2295.652173913044</v>
      </c>
      <c r="N33" s="12">
        <f t="shared" si="3"/>
        <v>127.536231884058</v>
      </c>
      <c r="O33" s="14">
        <f t="shared" si="4"/>
        <v>0</v>
      </c>
      <c r="P33" s="15">
        <f t="shared" si="5"/>
        <v>-5.7971014492753454</v>
      </c>
      <c r="Q33" s="504">
        <f t="shared" si="6"/>
        <v>0.95652173913043492</v>
      </c>
      <c r="R33" s="616"/>
      <c r="S33" s="32">
        <v>0.30833333333333329</v>
      </c>
      <c r="T33" s="32">
        <v>0.3881944444444444</v>
      </c>
      <c r="U33" s="503">
        <f t="shared" si="26"/>
        <v>4.9999999999999822</v>
      </c>
      <c r="V33" s="509">
        <f t="shared" si="25"/>
        <v>114.99999999999999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-104.34782608695605</v>
      </c>
      <c r="AF33" s="504">
        <f t="shared" si="9"/>
        <v>0.95652173913043503</v>
      </c>
      <c r="AG33" s="616"/>
    </row>
    <row r="34" spans="1:33" ht="15.75" customHeight="1">
      <c r="A34" s="633" t="s">
        <v>2583</v>
      </c>
      <c r="B34" s="27" t="s">
        <v>20</v>
      </c>
      <c r="C34" s="659" t="s">
        <v>59</v>
      </c>
      <c r="D34" s="659"/>
      <c r="E34" s="27">
        <v>25.99</v>
      </c>
      <c r="F34" s="510">
        <v>1340</v>
      </c>
      <c r="G34" s="503">
        <f t="shared" si="23"/>
        <v>34826.6</v>
      </c>
      <c r="H34" s="31" t="s">
        <v>40</v>
      </c>
      <c r="I34" s="508">
        <v>18</v>
      </c>
      <c r="J34" s="29">
        <v>2400</v>
      </c>
      <c r="K34" s="12">
        <f t="shared" si="1"/>
        <v>133.33333333333334</v>
      </c>
      <c r="L34" s="508">
        <v>18</v>
      </c>
      <c r="M34" s="13">
        <f t="shared" si="24"/>
        <v>2297.1428571428551</v>
      </c>
      <c r="N34" s="12">
        <f t="shared" si="3"/>
        <v>127.61904761904751</v>
      </c>
      <c r="O34" s="14">
        <f t="shared" si="4"/>
        <v>0</v>
      </c>
      <c r="P34" s="15">
        <f t="shared" si="5"/>
        <v>-5.7142857142858361</v>
      </c>
      <c r="Q34" s="504">
        <f t="shared" si="6"/>
        <v>0.95714285714285618</v>
      </c>
      <c r="R34" s="616"/>
      <c r="S34" s="32">
        <v>0.39166666666666661</v>
      </c>
      <c r="T34" s="32">
        <v>0.41597222222222219</v>
      </c>
      <c r="U34" s="503">
        <f t="shared" si="26"/>
        <v>4.9999999999999822</v>
      </c>
      <c r="V34" s="509">
        <f t="shared" si="25"/>
        <v>35.000000000000036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-102.85714285714494</v>
      </c>
      <c r="AF34" s="504">
        <f t="shared" si="9"/>
        <v>0.9571428571428563</v>
      </c>
      <c r="AG34" s="616"/>
    </row>
    <row r="35" spans="1:33" ht="15.75" customHeight="1">
      <c r="A35" s="633" t="s">
        <v>2583</v>
      </c>
      <c r="B35" s="27" t="s">
        <v>20</v>
      </c>
      <c r="C35" s="659" t="s">
        <v>23</v>
      </c>
      <c r="D35" s="659"/>
      <c r="E35" s="27">
        <v>25.99</v>
      </c>
      <c r="F35" s="510">
        <v>3746</v>
      </c>
      <c r="G35" s="503">
        <f t="shared" si="23"/>
        <v>97358.54</v>
      </c>
      <c r="H35" s="31" t="s">
        <v>40</v>
      </c>
      <c r="I35" s="508">
        <v>14</v>
      </c>
      <c r="J35" s="29">
        <v>2400</v>
      </c>
      <c r="K35" s="12">
        <f t="shared" si="1"/>
        <v>171.42857142857142</v>
      </c>
      <c r="L35" s="508">
        <v>14</v>
      </c>
      <c r="M35" s="13">
        <f t="shared" si="24"/>
        <v>2293.4693877551026</v>
      </c>
      <c r="N35" s="12">
        <f t="shared" si="3"/>
        <v>163.81924198250732</v>
      </c>
      <c r="O35" s="14">
        <f t="shared" si="4"/>
        <v>0</v>
      </c>
      <c r="P35" s="15">
        <f t="shared" si="5"/>
        <v>-7.6093294460640948</v>
      </c>
      <c r="Q35" s="504">
        <f t="shared" si="6"/>
        <v>0.95561224489795948</v>
      </c>
      <c r="R35" s="616"/>
      <c r="S35" s="32">
        <v>0.42083333333333328</v>
      </c>
      <c r="T35" s="32">
        <v>0.48888888888888882</v>
      </c>
      <c r="U35" s="503">
        <f t="shared" si="26"/>
        <v>6.9999999999999751</v>
      </c>
      <c r="V35" s="509">
        <f t="shared" si="25"/>
        <v>97.999999999999972</v>
      </c>
      <c r="W35" s="16">
        <f>T35</f>
        <v>0.48888888888888882</v>
      </c>
      <c r="X35" s="16">
        <f>S36</f>
        <v>0.52777777777777768</v>
      </c>
      <c r="Y35" s="16"/>
      <c r="Z35" s="16"/>
      <c r="AA35" s="612"/>
      <c r="AB35" s="612"/>
      <c r="AC35" s="18"/>
      <c r="AD35" s="18"/>
      <c r="AE35" s="14">
        <f t="shared" si="8"/>
        <v>-106.53061224489738</v>
      </c>
      <c r="AF35" s="504">
        <f t="shared" si="9"/>
        <v>0.95561224489795937</v>
      </c>
      <c r="AG35" s="616"/>
    </row>
    <row r="36" spans="1:33" ht="15.75" customHeight="1">
      <c r="A36" s="633" t="s">
        <v>2583</v>
      </c>
      <c r="B36" s="27" t="s">
        <v>20</v>
      </c>
      <c r="C36" s="659" t="s">
        <v>21</v>
      </c>
      <c r="D36" s="659"/>
      <c r="E36" s="27">
        <v>31.29</v>
      </c>
      <c r="F36" s="510">
        <v>3546</v>
      </c>
      <c r="G36" s="503">
        <f t="shared" si="23"/>
        <v>110954.34</v>
      </c>
      <c r="H36" s="31" t="s">
        <v>40</v>
      </c>
      <c r="I36" s="508">
        <v>18</v>
      </c>
      <c r="J36" s="29">
        <v>2400</v>
      </c>
      <c r="K36" s="12">
        <f t="shared" si="1"/>
        <v>133.33333333333334</v>
      </c>
      <c r="L36" s="508">
        <v>18</v>
      </c>
      <c r="M36" s="13">
        <f t="shared" si="24"/>
        <v>2287.7419354838712</v>
      </c>
      <c r="N36" s="12">
        <f t="shared" si="3"/>
        <v>127.0967741935484</v>
      </c>
      <c r="O36" s="14">
        <f t="shared" si="4"/>
        <v>0</v>
      </c>
      <c r="P36" s="15">
        <f t="shared" si="5"/>
        <v>-6.2365591397849443</v>
      </c>
      <c r="Q36" s="504">
        <f t="shared" si="6"/>
        <v>0.95322580645161292</v>
      </c>
      <c r="R36" s="616"/>
      <c r="S36" s="32">
        <v>0.52777777777777768</v>
      </c>
      <c r="T36" s="32">
        <v>0.59236111111111101</v>
      </c>
      <c r="U36" s="503">
        <f t="shared" si="26"/>
        <v>55.999999999999957</v>
      </c>
      <c r="V36" s="509">
        <f t="shared" si="25"/>
        <v>92.999999999999986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-112.2580645161288</v>
      </c>
      <c r="AF36" s="504">
        <f t="shared" si="9"/>
        <v>0.95322580645161303</v>
      </c>
      <c r="AG36" s="616"/>
    </row>
    <row r="37" spans="1:33" ht="15.75" customHeight="1">
      <c r="A37" s="633" t="s">
        <v>2583</v>
      </c>
      <c r="B37" s="27" t="s">
        <v>20</v>
      </c>
      <c r="C37" s="659" t="s">
        <v>57</v>
      </c>
      <c r="D37" s="659"/>
      <c r="E37" s="27">
        <v>26.18</v>
      </c>
      <c r="F37" s="510">
        <v>3522</v>
      </c>
      <c r="G37" s="503">
        <f t="shared" si="23"/>
        <v>92205.959999999992</v>
      </c>
      <c r="H37" s="31" t="s">
        <v>40</v>
      </c>
      <c r="I37" s="508">
        <v>18</v>
      </c>
      <c r="J37" s="29">
        <v>2400</v>
      </c>
      <c r="K37" s="12">
        <f t="shared" si="1"/>
        <v>133.33333333333334</v>
      </c>
      <c r="L37" s="508">
        <v>18</v>
      </c>
      <c r="M37" s="13">
        <f t="shared" si="24"/>
        <v>2296.9565217391305</v>
      </c>
      <c r="N37" s="12">
        <f t="shared" si="3"/>
        <v>127.60869565217392</v>
      </c>
      <c r="O37" s="14">
        <f t="shared" si="4"/>
        <v>0</v>
      </c>
      <c r="P37" s="15">
        <f t="shared" si="5"/>
        <v>-5.7246376811594217</v>
      </c>
      <c r="Q37" s="504">
        <f t="shared" si="6"/>
        <v>0.95706521739130435</v>
      </c>
      <c r="R37" s="616"/>
      <c r="S37" s="32">
        <v>0.59583333333333321</v>
      </c>
      <c r="T37" s="32">
        <v>0.6597222222222221</v>
      </c>
      <c r="U37" s="503">
        <f t="shared" si="26"/>
        <v>4.9999999999999822</v>
      </c>
      <c r="V37" s="509">
        <f t="shared" si="25"/>
        <v>92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-103.04347826086951</v>
      </c>
      <c r="AF37" s="504">
        <f t="shared" si="9"/>
        <v>0.95706521739130435</v>
      </c>
      <c r="AG37" s="616"/>
    </row>
    <row r="38" spans="1:33" ht="15.75" customHeight="1">
      <c r="A38" s="633" t="s">
        <v>2583</v>
      </c>
      <c r="B38" s="27" t="s">
        <v>20</v>
      </c>
      <c r="C38" s="506" t="s">
        <v>739</v>
      </c>
      <c r="D38" s="507"/>
      <c r="E38" s="27">
        <v>28.29</v>
      </c>
      <c r="F38" s="510">
        <v>1917</v>
      </c>
      <c r="G38" s="503">
        <f t="shared" si="23"/>
        <v>54231.93</v>
      </c>
      <c r="H38" s="31" t="s">
        <v>40</v>
      </c>
      <c r="I38" s="508">
        <v>21</v>
      </c>
      <c r="J38" s="29">
        <v>2400</v>
      </c>
      <c r="K38" s="12">
        <f t="shared" si="1"/>
        <v>114.28571428571429</v>
      </c>
      <c r="L38" s="508">
        <v>21</v>
      </c>
      <c r="M38" s="13">
        <f t="shared" si="24"/>
        <v>2300.4000000000005</v>
      </c>
      <c r="N38" s="12">
        <f t="shared" si="3"/>
        <v>109.54285714285717</v>
      </c>
      <c r="O38" s="14">
        <f t="shared" si="4"/>
        <v>0</v>
      </c>
      <c r="P38" s="15">
        <f t="shared" si="5"/>
        <v>-4.7428571428571189</v>
      </c>
      <c r="Q38" s="504">
        <f t="shared" si="6"/>
        <v>0.95850000000000024</v>
      </c>
      <c r="R38" s="616"/>
      <c r="S38" s="32">
        <v>0.66458333333333319</v>
      </c>
      <c r="T38" s="32">
        <v>0.6993055555555554</v>
      </c>
      <c r="U38" s="503">
        <f t="shared" si="26"/>
        <v>6.9999999999999751</v>
      </c>
      <c r="V38" s="509">
        <f t="shared" si="25"/>
        <v>49.999999999999986</v>
      </c>
      <c r="W38" s="16"/>
      <c r="X38" s="16"/>
      <c r="Y38" s="16"/>
      <c r="Z38" s="16"/>
      <c r="AA38" s="499"/>
      <c r="AB38" s="500"/>
      <c r="AC38" s="18"/>
      <c r="AD38" s="18"/>
      <c r="AE38" s="14">
        <f t="shared" si="8"/>
        <v>-99.599999999999454</v>
      </c>
      <c r="AF38" s="504">
        <f t="shared" si="9"/>
        <v>0.95850000000000024</v>
      </c>
      <c r="AG38" s="616"/>
    </row>
    <row r="39" spans="1:33" ht="15.75" customHeight="1">
      <c r="A39" s="633" t="s">
        <v>2583</v>
      </c>
      <c r="B39" s="27" t="s">
        <v>2579</v>
      </c>
      <c r="C39" s="658"/>
      <c r="D39" s="658"/>
      <c r="E39" s="505"/>
      <c r="F39" s="510"/>
      <c r="G39" s="503"/>
      <c r="H39" s="510"/>
      <c r="I39" s="21">
        <v>17.875</v>
      </c>
      <c r="J39" s="29">
        <v>2400</v>
      </c>
      <c r="K39" s="12">
        <f t="shared" si="1"/>
        <v>134.26573426573427</v>
      </c>
      <c r="L39" s="21">
        <v>17.875</v>
      </c>
      <c r="M39" s="13">
        <f>AVERAGE(M31:M38)</f>
        <v>2292.8981182724283</v>
      </c>
      <c r="N39" s="12">
        <f t="shared" si="3"/>
        <v>128.27402060265334</v>
      </c>
      <c r="O39" s="14">
        <f t="shared" si="4"/>
        <v>0</v>
      </c>
      <c r="P39" s="15">
        <f t="shared" si="5"/>
        <v>-5.9917136630809296</v>
      </c>
      <c r="Q39" s="504">
        <f t="shared" si="6"/>
        <v>0.95537421594684513</v>
      </c>
      <c r="R39" s="616"/>
      <c r="S39" s="32"/>
      <c r="T39" s="32"/>
      <c r="U39" s="503"/>
      <c r="V39" s="509"/>
      <c r="W39" s="503"/>
      <c r="X39" s="503"/>
      <c r="Y39" s="22">
        <f>SUM(Y31:Y38)</f>
        <v>0</v>
      </c>
      <c r="Z39" s="22">
        <f>SUM(Z31:Z38)</f>
        <v>0</v>
      </c>
      <c r="AA39" s="611"/>
      <c r="AB39" s="611"/>
      <c r="AC39" s="22">
        <v>8</v>
      </c>
      <c r="AD39" s="22">
        <f>SUM(AD31:AD38)</f>
        <v>0</v>
      </c>
      <c r="AE39" s="14">
        <f t="shared" si="8"/>
        <v>-107.10188172757171</v>
      </c>
      <c r="AF39" s="504">
        <f t="shared" si="9"/>
        <v>0.95537421594684513</v>
      </c>
      <c r="AG39" s="616"/>
    </row>
    <row r="40" spans="1:33" ht="15.75" customHeight="1">
      <c r="A40" s="629" t="s">
        <v>2584</v>
      </c>
      <c r="B40" s="27" t="s">
        <v>20</v>
      </c>
      <c r="C40" s="660" t="s">
        <v>58</v>
      </c>
      <c r="D40" s="660"/>
      <c r="E40" s="27">
        <v>26.18</v>
      </c>
      <c r="F40" s="510">
        <v>3400</v>
      </c>
      <c r="G40" s="503">
        <f t="shared" ref="G40:G48" si="27">E40*F40</f>
        <v>89012</v>
      </c>
      <c r="H40" s="31">
        <v>2</v>
      </c>
      <c r="I40" s="508">
        <v>20</v>
      </c>
      <c r="J40" s="29">
        <v>2400</v>
      </c>
      <c r="K40" s="12">
        <f t="shared" si="1"/>
        <v>120</v>
      </c>
      <c r="L40" s="508">
        <v>20</v>
      </c>
      <c r="M40" s="13">
        <f t="shared" ref="M40:M48" si="28">F40/V40*60</f>
        <v>2292.1348314606748</v>
      </c>
      <c r="N40" s="12">
        <f t="shared" si="3"/>
        <v>114.60674157303374</v>
      </c>
      <c r="O40" s="14">
        <f t="shared" si="4"/>
        <v>0</v>
      </c>
      <c r="P40" s="15">
        <f t="shared" si="5"/>
        <v>-5.3932584269662556</v>
      </c>
      <c r="Q40" s="504">
        <f t="shared" si="6"/>
        <v>0.95505617977528123</v>
      </c>
      <c r="R40" s="616">
        <f>Q49</f>
        <v>0.95879765524557725</v>
      </c>
      <c r="S40" s="32">
        <v>8.3333333333333329E-2</v>
      </c>
      <c r="T40" s="32">
        <v>0.14513888888888887</v>
      </c>
      <c r="U40" s="503"/>
      <c r="V40" s="509">
        <f t="shared" ref="V40:V48" si="29">(T40-S40)*24*60</f>
        <v>88.999999999999972</v>
      </c>
      <c r="W40" s="20">
        <f>T40</f>
        <v>0.14513888888888887</v>
      </c>
      <c r="X40" s="20">
        <f>S41</f>
        <v>0.16388888888888886</v>
      </c>
      <c r="Y40" s="20"/>
      <c r="Z40" s="20"/>
      <c r="AA40" s="612"/>
      <c r="AB40" s="612"/>
      <c r="AC40" s="18">
        <v>9</v>
      </c>
      <c r="AD40" s="18"/>
      <c r="AE40" s="14">
        <f t="shared" si="8"/>
        <v>-107.86516853932517</v>
      </c>
      <c r="AF40" s="504">
        <f t="shared" si="9"/>
        <v>0.95505617977528123</v>
      </c>
      <c r="AG40" s="616">
        <f>AF49</f>
        <v>0.95879765524557714</v>
      </c>
    </row>
    <row r="41" spans="1:33" ht="15.75" customHeight="1">
      <c r="A41" s="629" t="s">
        <v>2584</v>
      </c>
      <c r="B41" s="27" t="s">
        <v>20</v>
      </c>
      <c r="C41" s="660" t="s">
        <v>25</v>
      </c>
      <c r="D41" s="660"/>
      <c r="E41" s="27">
        <v>24.43</v>
      </c>
      <c r="F41" s="510">
        <v>3600</v>
      </c>
      <c r="G41" s="503">
        <f t="shared" si="27"/>
        <v>87948</v>
      </c>
      <c r="H41" s="31">
        <v>2</v>
      </c>
      <c r="I41" s="508">
        <v>14</v>
      </c>
      <c r="J41" s="29">
        <v>2400</v>
      </c>
      <c r="K41" s="12">
        <f t="shared" si="1"/>
        <v>171.42857142857142</v>
      </c>
      <c r="L41" s="508">
        <v>14</v>
      </c>
      <c r="M41" s="13">
        <f t="shared" si="28"/>
        <v>2297.872340425532</v>
      </c>
      <c r="N41" s="12">
        <f t="shared" si="3"/>
        <v>164.13373860182372</v>
      </c>
      <c r="O41" s="14">
        <f t="shared" si="4"/>
        <v>0</v>
      </c>
      <c r="P41" s="15">
        <f t="shared" si="5"/>
        <v>-7.2948328267476938</v>
      </c>
      <c r="Q41" s="504">
        <f t="shared" si="6"/>
        <v>0.95744680851063846</v>
      </c>
      <c r="R41" s="616"/>
      <c r="S41" s="32">
        <v>0.16388888888888886</v>
      </c>
      <c r="T41" s="32">
        <v>0.22916666666666663</v>
      </c>
      <c r="U41" s="503">
        <f t="shared" ref="U41:U48" si="30">(S41-T40)*24*60</f>
        <v>26.999999999999986</v>
      </c>
      <c r="V41" s="509">
        <f t="shared" si="29"/>
        <v>93.999999999999986</v>
      </c>
      <c r="W41" s="503"/>
      <c r="X41" s="503"/>
      <c r="Y41" s="503"/>
      <c r="Z41" s="503"/>
      <c r="AA41" s="612"/>
      <c r="AB41" s="612"/>
      <c r="AC41" s="18"/>
      <c r="AD41" s="18"/>
      <c r="AE41" s="14">
        <f t="shared" si="8"/>
        <v>-102.127659574468</v>
      </c>
      <c r="AF41" s="504">
        <f t="shared" si="9"/>
        <v>0.95744680851063835</v>
      </c>
      <c r="AG41" s="616"/>
    </row>
    <row r="42" spans="1:33">
      <c r="A42" s="630" t="s">
        <v>2584</v>
      </c>
      <c r="B42" s="27" t="s">
        <v>20</v>
      </c>
      <c r="C42" s="660" t="s">
        <v>83</v>
      </c>
      <c r="D42" s="660"/>
      <c r="E42" s="27">
        <v>25.98</v>
      </c>
      <c r="F42" s="510">
        <v>2200</v>
      </c>
      <c r="G42" s="503">
        <f t="shared" si="27"/>
        <v>57156</v>
      </c>
      <c r="H42" s="31">
        <v>2</v>
      </c>
      <c r="I42" s="508">
        <v>20</v>
      </c>
      <c r="J42" s="29">
        <v>2400</v>
      </c>
      <c r="K42" s="12">
        <f t="shared" si="1"/>
        <v>120</v>
      </c>
      <c r="L42" s="508">
        <v>20</v>
      </c>
      <c r="M42" s="13">
        <f t="shared" si="28"/>
        <v>2315.7894736842122</v>
      </c>
      <c r="N42" s="12">
        <f t="shared" si="3"/>
        <v>115.78947368421061</v>
      </c>
      <c r="O42" s="14">
        <f t="shared" si="4"/>
        <v>0</v>
      </c>
      <c r="P42" s="15">
        <f t="shared" si="5"/>
        <v>-4.2105263157893944</v>
      </c>
      <c r="Q42" s="504">
        <f t="shared" si="6"/>
        <v>0.96491228070175505</v>
      </c>
      <c r="R42" s="616"/>
      <c r="S42" s="32">
        <v>0.23263888888888884</v>
      </c>
      <c r="T42" s="32">
        <v>0.27222222222222214</v>
      </c>
      <c r="U42" s="503">
        <f t="shared" si="30"/>
        <v>4.9999999999999822</v>
      </c>
      <c r="V42" s="509">
        <f t="shared" si="29"/>
        <v>56.999999999999957</v>
      </c>
      <c r="W42" s="503"/>
      <c r="X42" s="503"/>
      <c r="Y42" s="503"/>
      <c r="Z42" s="503"/>
      <c r="AA42" s="612"/>
      <c r="AB42" s="612"/>
      <c r="AC42" s="18"/>
      <c r="AD42" s="18"/>
      <c r="AE42" s="14">
        <f t="shared" si="8"/>
        <v>-84.210526315787774</v>
      </c>
      <c r="AF42" s="504">
        <f t="shared" si="9"/>
        <v>0.96491228070175505</v>
      </c>
      <c r="AG42" s="616"/>
    </row>
    <row r="43" spans="1:33">
      <c r="A43" s="630" t="s">
        <v>2584</v>
      </c>
      <c r="B43" s="27" t="s">
        <v>20</v>
      </c>
      <c r="C43" s="660" t="s">
        <v>26</v>
      </c>
      <c r="D43" s="660"/>
      <c r="E43" s="27">
        <v>34.1</v>
      </c>
      <c r="F43" s="510">
        <v>6354</v>
      </c>
      <c r="G43" s="503">
        <f t="shared" si="27"/>
        <v>216671.40000000002</v>
      </c>
      <c r="H43" s="31" t="s">
        <v>40</v>
      </c>
      <c r="I43" s="508">
        <v>17</v>
      </c>
      <c r="J43" s="29">
        <v>1600</v>
      </c>
      <c r="K43" s="12">
        <f t="shared" si="1"/>
        <v>94.117647058823536</v>
      </c>
      <c r="L43" s="508">
        <v>17</v>
      </c>
      <c r="M43" s="13">
        <f t="shared" si="28"/>
        <v>1531.0843373493969</v>
      </c>
      <c r="N43" s="12">
        <f t="shared" si="3"/>
        <v>90.063784549964524</v>
      </c>
      <c r="O43" s="14">
        <f t="shared" si="4"/>
        <v>0</v>
      </c>
      <c r="P43" s="15">
        <f t="shared" si="5"/>
        <v>-4.0538625088590123</v>
      </c>
      <c r="Q43" s="504">
        <f t="shared" si="6"/>
        <v>0.95692771084337303</v>
      </c>
      <c r="R43" s="616"/>
      <c r="S43" s="32">
        <v>0.2763888888888888</v>
      </c>
      <c r="T43" s="32">
        <v>0.44930555555555551</v>
      </c>
      <c r="U43" s="503">
        <f t="shared" si="30"/>
        <v>5.9999999999999787</v>
      </c>
      <c r="V43" s="509">
        <f t="shared" si="29"/>
        <v>249.00000000000009</v>
      </c>
      <c r="W43" s="16"/>
      <c r="X43" s="16"/>
      <c r="Y43" s="16"/>
      <c r="Z43" s="16"/>
      <c r="AA43" s="612"/>
      <c r="AB43" s="612"/>
      <c r="AC43" s="18"/>
      <c r="AD43" s="18"/>
      <c r="AE43" s="14">
        <f t="shared" si="8"/>
        <v>-68.915662650603053</v>
      </c>
      <c r="AF43" s="504">
        <f t="shared" si="9"/>
        <v>0.95692771084337314</v>
      </c>
      <c r="AG43" s="616"/>
    </row>
    <row r="44" spans="1:33">
      <c r="A44" s="630" t="s">
        <v>2584</v>
      </c>
      <c r="B44" s="27" t="s">
        <v>20</v>
      </c>
      <c r="C44" s="660" t="s">
        <v>64</v>
      </c>
      <c r="D44" s="660"/>
      <c r="E44" s="27">
        <v>20.21</v>
      </c>
      <c r="F44" s="510">
        <v>2445</v>
      </c>
      <c r="G44" s="503">
        <f t="shared" si="27"/>
        <v>49413.450000000004</v>
      </c>
      <c r="H44" s="31" t="s">
        <v>40</v>
      </c>
      <c r="I44" s="508">
        <v>18</v>
      </c>
      <c r="J44" s="29">
        <v>2400</v>
      </c>
      <c r="K44" s="12">
        <f t="shared" si="1"/>
        <v>133.33333333333334</v>
      </c>
      <c r="L44" s="508">
        <v>18</v>
      </c>
      <c r="M44" s="13">
        <f t="shared" si="28"/>
        <v>2292.1874999999995</v>
      </c>
      <c r="N44" s="12">
        <f t="shared" si="3"/>
        <v>127.34374999999997</v>
      </c>
      <c r="O44" s="14">
        <f t="shared" si="4"/>
        <v>0</v>
      </c>
      <c r="P44" s="15">
        <f t="shared" si="5"/>
        <v>-5.9895833333333712</v>
      </c>
      <c r="Q44" s="504">
        <f t="shared" si="6"/>
        <v>0.95507812499999967</v>
      </c>
      <c r="R44" s="616"/>
      <c r="S44" s="32">
        <v>0.45277777777777772</v>
      </c>
      <c r="T44" s="32">
        <v>0.49722222222222218</v>
      </c>
      <c r="U44" s="503">
        <f t="shared" si="30"/>
        <v>4.9999999999999822</v>
      </c>
      <c r="V44" s="509">
        <f t="shared" si="29"/>
        <v>64.000000000000014</v>
      </c>
      <c r="W44" s="16">
        <f>T44</f>
        <v>0.49722222222222218</v>
      </c>
      <c r="X44" s="16">
        <f>S45</f>
        <v>0.53680555555555554</v>
      </c>
      <c r="Y44" s="16"/>
      <c r="Z44" s="16"/>
      <c r="AA44" s="612"/>
      <c r="AB44" s="612"/>
      <c r="AC44" s="18"/>
      <c r="AD44" s="18"/>
      <c r="AE44" s="14">
        <f t="shared" si="8"/>
        <v>-107.81250000000045</v>
      </c>
      <c r="AF44" s="504">
        <f t="shared" si="9"/>
        <v>0.95507812499999978</v>
      </c>
      <c r="AG44" s="616"/>
    </row>
    <row r="45" spans="1:33">
      <c r="A45" s="630" t="s">
        <v>2584</v>
      </c>
      <c r="B45" s="27" t="s">
        <v>20</v>
      </c>
      <c r="C45" s="660" t="s">
        <v>58</v>
      </c>
      <c r="D45" s="660"/>
      <c r="E45" s="27">
        <v>26.18</v>
      </c>
      <c r="F45" s="510">
        <v>2627</v>
      </c>
      <c r="G45" s="503">
        <f t="shared" si="27"/>
        <v>68774.86</v>
      </c>
      <c r="H45" s="31" t="s">
        <v>40</v>
      </c>
      <c r="I45" s="508">
        <v>20</v>
      </c>
      <c r="J45" s="29">
        <v>2400</v>
      </c>
      <c r="K45" s="12">
        <f t="shared" si="1"/>
        <v>120</v>
      </c>
      <c r="L45" s="508">
        <v>20</v>
      </c>
      <c r="M45" s="13">
        <f t="shared" si="28"/>
        <v>2284.3478260869592</v>
      </c>
      <c r="N45" s="12">
        <f t="shared" si="3"/>
        <v>114.21739130434796</v>
      </c>
      <c r="O45" s="14">
        <f t="shared" si="4"/>
        <v>0</v>
      </c>
      <c r="P45" s="15">
        <f t="shared" si="5"/>
        <v>-5.7826086956520442</v>
      </c>
      <c r="Q45" s="504">
        <f t="shared" si="6"/>
        <v>0.95181159420289962</v>
      </c>
      <c r="R45" s="616"/>
      <c r="S45" s="32">
        <v>0.53680555555555554</v>
      </c>
      <c r="T45" s="32">
        <v>0.58472222222222214</v>
      </c>
      <c r="U45" s="503">
        <f t="shared" si="30"/>
        <v>57.000000000000036</v>
      </c>
      <c r="V45" s="509">
        <f t="shared" si="29"/>
        <v>68.999999999999915</v>
      </c>
      <c r="W45" s="16"/>
      <c r="X45" s="16"/>
      <c r="Y45" s="16"/>
      <c r="Z45" s="16"/>
      <c r="AA45" s="612"/>
      <c r="AB45" s="612"/>
      <c r="AC45" s="18"/>
      <c r="AD45" s="18"/>
      <c r="AE45" s="14">
        <f t="shared" si="8"/>
        <v>-115.65217391304077</v>
      </c>
      <c r="AF45" s="504">
        <f t="shared" si="9"/>
        <v>0.95181159420289962</v>
      </c>
      <c r="AG45" s="616"/>
    </row>
    <row r="46" spans="1:33">
      <c r="A46" s="630" t="s">
        <v>2584</v>
      </c>
      <c r="B46" s="27" t="s">
        <v>20</v>
      </c>
      <c r="C46" s="660" t="s">
        <v>25</v>
      </c>
      <c r="D46" s="660"/>
      <c r="E46" s="27">
        <v>24.43</v>
      </c>
      <c r="F46" s="510">
        <v>2930</v>
      </c>
      <c r="G46" s="503">
        <f t="shared" si="27"/>
        <v>71579.899999999994</v>
      </c>
      <c r="H46" s="31" t="s">
        <v>40</v>
      </c>
      <c r="I46" s="508">
        <v>14</v>
      </c>
      <c r="J46" s="29">
        <v>2400</v>
      </c>
      <c r="K46" s="12">
        <f t="shared" si="1"/>
        <v>171.42857142857142</v>
      </c>
      <c r="L46" s="508">
        <v>14</v>
      </c>
      <c r="M46" s="13">
        <f t="shared" si="28"/>
        <v>2283.116883116882</v>
      </c>
      <c r="N46" s="12">
        <f t="shared" si="3"/>
        <v>163.07977736549157</v>
      </c>
      <c r="O46" s="14">
        <f t="shared" si="4"/>
        <v>0</v>
      </c>
      <c r="P46" s="15">
        <f t="shared" si="5"/>
        <v>-8.3487940630798505</v>
      </c>
      <c r="Q46" s="504">
        <f t="shared" si="6"/>
        <v>0.95129870129870087</v>
      </c>
      <c r="R46" s="616"/>
      <c r="S46" s="32">
        <v>0.5888888888888888</v>
      </c>
      <c r="T46" s="32">
        <v>0.64236111111111105</v>
      </c>
      <c r="U46" s="503">
        <f t="shared" si="30"/>
        <v>5.9999999999999787</v>
      </c>
      <c r="V46" s="509">
        <f t="shared" si="29"/>
        <v>77.000000000000043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-116.88311688311796</v>
      </c>
      <c r="AF46" s="504">
        <f t="shared" si="9"/>
        <v>0.95129870129870087</v>
      </c>
      <c r="AG46" s="616"/>
    </row>
    <row r="47" spans="1:33">
      <c r="A47" s="630" t="s">
        <v>2584</v>
      </c>
      <c r="B47" s="27" t="s">
        <v>20</v>
      </c>
      <c r="C47" s="660" t="s">
        <v>83</v>
      </c>
      <c r="D47" s="660"/>
      <c r="E47" s="27">
        <v>25.98</v>
      </c>
      <c r="F47" s="510">
        <v>1470</v>
      </c>
      <c r="G47" s="503">
        <f t="shared" si="27"/>
        <v>38190.6</v>
      </c>
      <c r="H47" s="31" t="s">
        <v>40</v>
      </c>
      <c r="I47" s="508">
        <v>20</v>
      </c>
      <c r="J47" s="29">
        <v>2400</v>
      </c>
      <c r="K47" s="12">
        <f t="shared" si="1"/>
        <v>120</v>
      </c>
      <c r="L47" s="508">
        <v>20</v>
      </c>
      <c r="M47" s="13">
        <f t="shared" si="28"/>
        <v>2321.0526315789457</v>
      </c>
      <c r="N47" s="12">
        <f t="shared" si="3"/>
        <v>116.05263157894728</v>
      </c>
      <c r="O47" s="14">
        <f t="shared" si="4"/>
        <v>0</v>
      </c>
      <c r="P47" s="15">
        <f t="shared" si="5"/>
        <v>-3.9473684210527153</v>
      </c>
      <c r="Q47" s="504">
        <f t="shared" si="6"/>
        <v>0.96710526315789402</v>
      </c>
      <c r="R47" s="616"/>
      <c r="S47" s="32">
        <v>0.64722222222222214</v>
      </c>
      <c r="T47" s="32">
        <v>0.67361111111111105</v>
      </c>
      <c r="U47" s="503">
        <f t="shared" si="30"/>
        <v>6.9999999999999751</v>
      </c>
      <c r="V47" s="509">
        <f t="shared" si="29"/>
        <v>38.000000000000028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-78.947368421054307</v>
      </c>
      <c r="AF47" s="504">
        <f t="shared" si="9"/>
        <v>0.96710526315789402</v>
      </c>
      <c r="AG47" s="616"/>
    </row>
    <row r="48" spans="1:33">
      <c r="A48" s="630" t="s">
        <v>2584</v>
      </c>
      <c r="B48" s="27" t="s">
        <v>20</v>
      </c>
      <c r="C48" s="605" t="s">
        <v>80</v>
      </c>
      <c r="D48" s="606"/>
      <c r="E48" s="27">
        <v>25.98</v>
      </c>
      <c r="F48" s="510">
        <v>1434</v>
      </c>
      <c r="G48" s="503">
        <f t="shared" si="27"/>
        <v>37255.32</v>
      </c>
      <c r="H48" s="31" t="s">
        <v>40</v>
      </c>
      <c r="I48" s="508">
        <v>17</v>
      </c>
      <c r="J48" s="29">
        <v>2400</v>
      </c>
      <c r="K48" s="12">
        <f t="shared" si="1"/>
        <v>141.1764705882353</v>
      </c>
      <c r="L48" s="508">
        <v>17</v>
      </c>
      <c r="M48" s="13">
        <f t="shared" si="28"/>
        <v>2325.4054054054036</v>
      </c>
      <c r="N48" s="12">
        <f t="shared" si="3"/>
        <v>136.78855325914139</v>
      </c>
      <c r="O48" s="14">
        <f t="shared" si="4"/>
        <v>0</v>
      </c>
      <c r="P48" s="15">
        <f t="shared" si="5"/>
        <v>-4.3879173290939093</v>
      </c>
      <c r="Q48" s="504">
        <f t="shared" si="6"/>
        <v>0.96891891891891813</v>
      </c>
      <c r="R48" s="616"/>
      <c r="S48" s="32">
        <v>0.67847222222222214</v>
      </c>
      <c r="T48" s="32">
        <v>0.70416666666666661</v>
      </c>
      <c r="U48" s="503">
        <f t="shared" si="30"/>
        <v>6.9999999999999751</v>
      </c>
      <c r="V48" s="509">
        <f t="shared" si="29"/>
        <v>37.000000000000028</v>
      </c>
      <c r="W48" s="16"/>
      <c r="X48" s="16"/>
      <c r="Y48" s="19"/>
      <c r="Z48" s="19"/>
      <c r="AA48" s="499"/>
      <c r="AB48" s="500"/>
      <c r="AC48" s="18"/>
      <c r="AD48" s="18"/>
      <c r="AE48" s="14">
        <f t="shared" si="8"/>
        <v>-74.594594594596401</v>
      </c>
      <c r="AF48" s="504">
        <f t="shared" si="9"/>
        <v>0.96891891891891813</v>
      </c>
      <c r="AG48" s="616"/>
    </row>
    <row r="49" spans="1:33">
      <c r="A49" s="630" t="s">
        <v>2584</v>
      </c>
      <c r="B49" s="28" t="s">
        <v>2579</v>
      </c>
      <c r="C49" s="658"/>
      <c r="D49" s="658"/>
      <c r="E49" s="505"/>
      <c r="F49" s="28"/>
      <c r="G49" s="12"/>
      <c r="H49" s="510"/>
      <c r="I49" s="21">
        <v>17.777777777777779</v>
      </c>
      <c r="J49" s="29">
        <v>2311.1111111111113</v>
      </c>
      <c r="K49" s="12">
        <f t="shared" si="1"/>
        <v>130</v>
      </c>
      <c r="L49" s="21">
        <v>17.777777777777779</v>
      </c>
      <c r="M49" s="13">
        <f>AVERAGE(M40:M48)</f>
        <v>2215.8879143453341</v>
      </c>
      <c r="N49" s="12">
        <f t="shared" si="3"/>
        <v>124.64369518192504</v>
      </c>
      <c r="O49" s="14">
        <f t="shared" si="4"/>
        <v>0</v>
      </c>
      <c r="P49" s="15">
        <f t="shared" si="5"/>
        <v>-5.3563048180749604</v>
      </c>
      <c r="Q49" s="504">
        <f t="shared" si="6"/>
        <v>0.95879765524557725</v>
      </c>
      <c r="R49" s="616"/>
      <c r="S49" s="32"/>
      <c r="T49" s="32"/>
      <c r="U49" s="12"/>
      <c r="V49" s="509"/>
      <c r="W49" s="12"/>
      <c r="X49" s="12"/>
      <c r="Y49" s="22">
        <f>SUM(Y40:Y48)</f>
        <v>0</v>
      </c>
      <c r="Z49" s="22">
        <f>SUM(Z40:Z48)</f>
        <v>0</v>
      </c>
      <c r="AA49" s="611"/>
      <c r="AB49" s="611"/>
      <c r="AC49" s="22">
        <v>9</v>
      </c>
      <c r="AD49" s="22">
        <f>SUM(AD40:AD48)</f>
        <v>0</v>
      </c>
      <c r="AE49" s="14">
        <f t="shared" si="8"/>
        <v>-95.223196765777175</v>
      </c>
      <c r="AF49" s="504">
        <f t="shared" si="9"/>
        <v>0.95879765524557714</v>
      </c>
      <c r="AG49" s="616"/>
    </row>
    <row r="50" spans="1:33" ht="15.75" customHeight="1">
      <c r="A50" s="623" t="s">
        <v>2585</v>
      </c>
      <c r="B50" s="27" t="s">
        <v>27</v>
      </c>
      <c r="C50" s="605" t="s">
        <v>29</v>
      </c>
      <c r="D50" s="606"/>
      <c r="E50" s="27">
        <v>21.13</v>
      </c>
      <c r="F50" s="510">
        <v>5354</v>
      </c>
      <c r="G50" s="503">
        <f t="shared" ref="G50:G53" si="31">E50*F50</f>
        <v>113130.01999999999</v>
      </c>
      <c r="H50" s="31" t="s">
        <v>40</v>
      </c>
      <c r="I50" s="508">
        <v>10</v>
      </c>
      <c r="J50" s="29">
        <v>3000</v>
      </c>
      <c r="K50" s="12">
        <f t="shared" si="1"/>
        <v>300</v>
      </c>
      <c r="L50" s="508">
        <v>10</v>
      </c>
      <c r="M50" s="13">
        <f t="shared" ref="M50:M53" si="32">F50/V50*60</f>
        <v>2868.2142857142867</v>
      </c>
      <c r="N50" s="13">
        <f t="shared" si="3"/>
        <v>286.82142857142867</v>
      </c>
      <c r="O50" s="14">
        <f t="shared" si="4"/>
        <v>0</v>
      </c>
      <c r="P50" s="15">
        <f t="shared" si="5"/>
        <v>-13.178571428571331</v>
      </c>
      <c r="Q50" s="504">
        <f t="shared" si="6"/>
        <v>0.95607142857142891</v>
      </c>
      <c r="R50" s="626">
        <f>Q54</f>
        <v>0.96098476890756312</v>
      </c>
      <c r="S50" s="32">
        <v>0.20833333333333334</v>
      </c>
      <c r="T50" s="32">
        <v>0.28611111111111109</v>
      </c>
      <c r="U50" s="20"/>
      <c r="V50" s="509">
        <f t="shared" ref="V50:V53" si="33">(T50-S50)*24*60</f>
        <v>111.99999999999996</v>
      </c>
      <c r="W50" s="16"/>
      <c r="X50" s="16"/>
      <c r="Y50" s="19"/>
      <c r="Z50" s="19"/>
      <c r="AA50" s="607"/>
      <c r="AB50" s="608"/>
      <c r="AC50" s="18">
        <v>4</v>
      </c>
      <c r="AD50" s="18"/>
      <c r="AE50" s="14">
        <f t="shared" si="8"/>
        <v>-131.78571428571331</v>
      </c>
      <c r="AF50" s="504">
        <f t="shared" si="9"/>
        <v>0.95607142857142891</v>
      </c>
      <c r="AG50" s="626">
        <f>AF54</f>
        <v>0.96098476890756324</v>
      </c>
    </row>
    <row r="51" spans="1:33" ht="15.75" customHeight="1">
      <c r="A51" s="624" t="s">
        <v>2585</v>
      </c>
      <c r="B51" s="27" t="s">
        <v>27</v>
      </c>
      <c r="C51" s="605" t="s">
        <v>30</v>
      </c>
      <c r="D51" s="606"/>
      <c r="E51" s="27">
        <v>27.17</v>
      </c>
      <c r="F51" s="510">
        <v>4866</v>
      </c>
      <c r="G51" s="503">
        <f t="shared" si="31"/>
        <v>132209.22</v>
      </c>
      <c r="H51" s="31" t="s">
        <v>40</v>
      </c>
      <c r="I51" s="508">
        <v>10</v>
      </c>
      <c r="J51" s="29">
        <v>3000</v>
      </c>
      <c r="K51" s="12">
        <f t="shared" si="1"/>
        <v>300</v>
      </c>
      <c r="L51" s="508">
        <v>10</v>
      </c>
      <c r="M51" s="13">
        <f t="shared" si="32"/>
        <v>2862.3529411764716</v>
      </c>
      <c r="N51" s="13">
        <f t="shared" si="3"/>
        <v>286.23529411764719</v>
      </c>
      <c r="O51" s="14">
        <f t="shared" si="4"/>
        <v>0</v>
      </c>
      <c r="P51" s="15">
        <f t="shared" si="5"/>
        <v>-13.764705882352814</v>
      </c>
      <c r="Q51" s="504">
        <f t="shared" si="6"/>
        <v>0.95411764705882396</v>
      </c>
      <c r="R51" s="627"/>
      <c r="S51" s="32">
        <v>0.2895833333333333</v>
      </c>
      <c r="T51" s="32">
        <v>0.36041666666666661</v>
      </c>
      <c r="U51" s="503">
        <f t="shared" ref="U51:U53" si="34">(S51-T50)*24*60</f>
        <v>4.9999999999999822</v>
      </c>
      <c r="V51" s="509">
        <f t="shared" si="33"/>
        <v>101.99999999999996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8"/>
        <v>-137.64705882352837</v>
      </c>
      <c r="AF51" s="504">
        <f t="shared" si="9"/>
        <v>0.95411764705882385</v>
      </c>
      <c r="AG51" s="627"/>
    </row>
    <row r="52" spans="1:33" ht="15.75" customHeight="1">
      <c r="A52" s="624" t="s">
        <v>2585</v>
      </c>
      <c r="B52" s="27" t="s">
        <v>27</v>
      </c>
      <c r="C52" s="605" t="s">
        <v>35</v>
      </c>
      <c r="D52" s="606"/>
      <c r="E52" s="27">
        <v>35.869999999999997</v>
      </c>
      <c r="F52" s="510">
        <v>2325</v>
      </c>
      <c r="G52" s="503">
        <f t="shared" si="31"/>
        <v>83397.75</v>
      </c>
      <c r="H52" s="31" t="s">
        <v>40</v>
      </c>
      <c r="I52" s="508">
        <v>9</v>
      </c>
      <c r="J52" s="29">
        <v>3000</v>
      </c>
      <c r="K52" s="12">
        <f t="shared" si="1"/>
        <v>333.33333333333331</v>
      </c>
      <c r="L52" s="508">
        <v>9</v>
      </c>
      <c r="M52" s="13">
        <f t="shared" si="32"/>
        <v>2906.2500000000009</v>
      </c>
      <c r="N52" s="13">
        <f t="shared" si="3"/>
        <v>322.91666666666674</v>
      </c>
      <c r="O52" s="14">
        <f t="shared" si="4"/>
        <v>0</v>
      </c>
      <c r="P52" s="15">
        <f t="shared" si="5"/>
        <v>-10.416666666666572</v>
      </c>
      <c r="Q52" s="504">
        <f t="shared" si="6"/>
        <v>0.96875000000000033</v>
      </c>
      <c r="R52" s="627"/>
      <c r="S52" s="32">
        <v>0.36458333333333326</v>
      </c>
      <c r="T52" s="32">
        <v>0.39791666666666659</v>
      </c>
      <c r="U52" s="503">
        <f t="shared" si="34"/>
        <v>5.9999999999999787</v>
      </c>
      <c r="V52" s="509">
        <f t="shared" si="33"/>
        <v>47.999999999999986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-93.749999999999091</v>
      </c>
      <c r="AF52" s="504">
        <f t="shared" si="9"/>
        <v>0.96875000000000033</v>
      </c>
      <c r="AG52" s="627"/>
    </row>
    <row r="53" spans="1:33" ht="15.75" customHeight="1">
      <c r="A53" s="624" t="s">
        <v>2585</v>
      </c>
      <c r="B53" s="27" t="s">
        <v>27</v>
      </c>
      <c r="C53" s="605" t="s">
        <v>36</v>
      </c>
      <c r="D53" s="606"/>
      <c r="E53" s="27">
        <v>34.35</v>
      </c>
      <c r="F53" s="510">
        <v>965</v>
      </c>
      <c r="G53" s="503">
        <f t="shared" si="31"/>
        <v>33147.75</v>
      </c>
      <c r="H53" s="31" t="s">
        <v>40</v>
      </c>
      <c r="I53" s="508">
        <v>8</v>
      </c>
      <c r="J53" s="29">
        <v>3000</v>
      </c>
      <c r="K53" s="12">
        <f t="shared" si="1"/>
        <v>375</v>
      </c>
      <c r="L53" s="508">
        <v>8</v>
      </c>
      <c r="M53" s="13">
        <f t="shared" si="32"/>
        <v>2894.9999999999991</v>
      </c>
      <c r="N53" s="13">
        <f t="shared" si="3"/>
        <v>361.87499999999989</v>
      </c>
      <c r="O53" s="14">
        <f t="shared" si="4"/>
        <v>0</v>
      </c>
      <c r="P53" s="15">
        <f t="shared" si="5"/>
        <v>-13.125000000000114</v>
      </c>
      <c r="Q53" s="504">
        <f t="shared" si="6"/>
        <v>0.96499999999999975</v>
      </c>
      <c r="R53" s="627"/>
      <c r="S53" s="32">
        <v>0.40277777777777768</v>
      </c>
      <c r="T53" s="32">
        <v>0.41666666666666657</v>
      </c>
      <c r="U53" s="503">
        <f t="shared" si="34"/>
        <v>6.9999999999999751</v>
      </c>
      <c r="V53" s="509">
        <f t="shared" si="33"/>
        <v>20.000000000000007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-105.00000000000091</v>
      </c>
      <c r="AF53" s="504">
        <f t="shared" si="9"/>
        <v>0.96499999999999975</v>
      </c>
      <c r="AG53" s="627"/>
    </row>
    <row r="54" spans="1:33" ht="15.75" customHeight="1">
      <c r="A54" s="625" t="s">
        <v>2585</v>
      </c>
      <c r="B54" s="27" t="s">
        <v>2579</v>
      </c>
      <c r="C54" s="609"/>
      <c r="D54" s="610"/>
      <c r="E54" s="501"/>
      <c r="F54" s="510"/>
      <c r="G54" s="503"/>
      <c r="H54" s="510"/>
      <c r="I54" s="21">
        <v>9.25</v>
      </c>
      <c r="J54" s="29">
        <v>3000</v>
      </c>
      <c r="K54" s="12">
        <f t="shared" si="1"/>
        <v>324.32432432432432</v>
      </c>
      <c r="L54" s="21">
        <v>9.25</v>
      </c>
      <c r="M54" s="13">
        <f>AVERAGE(M50:M53)</f>
        <v>2882.9543067226896</v>
      </c>
      <c r="N54" s="12">
        <f t="shared" si="3"/>
        <v>311.67073586191236</v>
      </c>
      <c r="O54" s="14">
        <f t="shared" si="4"/>
        <v>0</v>
      </c>
      <c r="P54" s="15">
        <f t="shared" si="5"/>
        <v>-12.65358846241196</v>
      </c>
      <c r="Q54" s="504">
        <f t="shared" si="6"/>
        <v>0.96098476890756312</v>
      </c>
      <c r="R54" s="628"/>
      <c r="S54" s="32"/>
      <c r="T54" s="32"/>
      <c r="U54" s="503"/>
      <c r="V54" s="509"/>
      <c r="W54" s="16"/>
      <c r="X54" s="16"/>
      <c r="Y54" s="22">
        <f>SUM(Y50:Y53)</f>
        <v>0</v>
      </c>
      <c r="Z54" s="22">
        <f>SUM(Z50:Z53)</f>
        <v>0</v>
      </c>
      <c r="AA54" s="619"/>
      <c r="AB54" s="620"/>
      <c r="AC54" s="22">
        <v>4</v>
      </c>
      <c r="AD54" s="22">
        <f>SUM(AD50:AD53)</f>
        <v>0</v>
      </c>
      <c r="AE54" s="14">
        <f t="shared" si="8"/>
        <v>-117.04569327731042</v>
      </c>
      <c r="AF54" s="504">
        <f t="shared" si="9"/>
        <v>0.96098476890756324</v>
      </c>
      <c r="AG54" s="628"/>
    </row>
    <row r="55" spans="1:33" ht="15.75" customHeight="1">
      <c r="A55" s="621" t="s">
        <v>2586</v>
      </c>
      <c r="B55" s="27" t="s">
        <v>11</v>
      </c>
      <c r="C55" s="660" t="s">
        <v>2492</v>
      </c>
      <c r="D55" s="660"/>
      <c r="E55" s="27">
        <v>51.44</v>
      </c>
      <c r="F55" s="30">
        <v>5378</v>
      </c>
      <c r="G55" s="503">
        <f t="shared" ref="G55:G64" si="35">E55*F55</f>
        <v>276644.32</v>
      </c>
      <c r="H55" s="31" t="s">
        <v>40</v>
      </c>
      <c r="I55" s="508">
        <v>18</v>
      </c>
      <c r="J55" s="29">
        <v>2000</v>
      </c>
      <c r="K55" s="12">
        <f t="shared" si="1"/>
        <v>111.11111111111111</v>
      </c>
      <c r="L55" s="508">
        <v>18</v>
      </c>
      <c r="M55" s="13">
        <f t="shared" ref="M55" si="36">F55/V55*60</f>
        <v>1909.3491124260354</v>
      </c>
      <c r="N55" s="13">
        <f t="shared" si="3"/>
        <v>106.0749506903353</v>
      </c>
      <c r="O55" s="14">
        <f t="shared" si="4"/>
        <v>0</v>
      </c>
      <c r="P55" s="15">
        <f t="shared" si="5"/>
        <v>-5.0361604207758148</v>
      </c>
      <c r="Q55" s="504">
        <f t="shared" si="6"/>
        <v>0.95467455621301767</v>
      </c>
      <c r="R55" s="616">
        <f>Q65</f>
        <v>0.95943673023543874</v>
      </c>
      <c r="S55" s="32">
        <v>8.3333333333333329E-2</v>
      </c>
      <c r="T55" s="32">
        <v>0.20069444444444445</v>
      </c>
      <c r="U55" s="20"/>
      <c r="V55" s="509">
        <f t="shared" ref="V55:V64" si="37">(T55-S55)*24*60</f>
        <v>169</v>
      </c>
      <c r="W55" s="16">
        <f>T55</f>
        <v>0.20069444444444445</v>
      </c>
      <c r="X55" s="16">
        <f>S56</f>
        <v>0.21875</v>
      </c>
      <c r="Y55" s="20"/>
      <c r="Z55" s="20"/>
      <c r="AA55" s="612"/>
      <c r="AB55" s="612"/>
      <c r="AC55" s="18">
        <v>10</v>
      </c>
      <c r="AD55" s="18"/>
      <c r="AE55" s="14">
        <f t="shared" si="8"/>
        <v>-90.65088757396461</v>
      </c>
      <c r="AF55" s="504">
        <f t="shared" si="9"/>
        <v>0.95467455621301767</v>
      </c>
      <c r="AG55" s="616">
        <f>AF65</f>
        <v>0.95943673023543874</v>
      </c>
    </row>
    <row r="56" spans="1:33" ht="15.75" customHeight="1">
      <c r="A56" s="621" t="s">
        <v>2586</v>
      </c>
      <c r="B56" s="27" t="s">
        <v>5</v>
      </c>
      <c r="C56" s="660" t="s">
        <v>15</v>
      </c>
      <c r="D56" s="660"/>
      <c r="E56" s="27">
        <v>59.04</v>
      </c>
      <c r="F56" s="30">
        <v>1812</v>
      </c>
      <c r="G56" s="503">
        <f t="shared" si="35"/>
        <v>106980.48</v>
      </c>
      <c r="H56" s="31" t="s">
        <v>40</v>
      </c>
      <c r="I56" s="508">
        <v>19</v>
      </c>
      <c r="J56" s="29">
        <v>2000</v>
      </c>
      <c r="K56" s="12">
        <f t="shared" si="1"/>
        <v>105.26315789473684</v>
      </c>
      <c r="L56" s="508">
        <v>19</v>
      </c>
      <c r="M56" s="13">
        <f>F56/V56*60</f>
        <v>1907.368421052633</v>
      </c>
      <c r="N56" s="13">
        <f t="shared" si="3"/>
        <v>100.38781163434911</v>
      </c>
      <c r="O56" s="14">
        <f t="shared" si="4"/>
        <v>0</v>
      </c>
      <c r="P56" s="15">
        <f t="shared" si="5"/>
        <v>-4.8753462603877296</v>
      </c>
      <c r="Q56" s="504">
        <f t="shared" si="6"/>
        <v>0.95368421052631658</v>
      </c>
      <c r="R56" s="616"/>
      <c r="S56" s="32">
        <v>0.21875</v>
      </c>
      <c r="T56" s="32">
        <v>0.2583333333333333</v>
      </c>
      <c r="U56" s="503">
        <f t="shared" ref="U56:U64" si="38">IF(S56=TIME(17,0,0),"",(S56-T55)*24*60)</f>
        <v>25.999999999999986</v>
      </c>
      <c r="V56" s="509">
        <f t="shared" si="37"/>
        <v>56.999999999999957</v>
      </c>
      <c r="W56" s="16"/>
      <c r="X56" s="16"/>
      <c r="Y56" s="16"/>
      <c r="Z56" s="16"/>
      <c r="AA56" s="612"/>
      <c r="AB56" s="612"/>
      <c r="AC56" s="18"/>
      <c r="AD56" s="18"/>
      <c r="AE56" s="14">
        <f t="shared" si="8"/>
        <v>-92.631578947366961</v>
      </c>
      <c r="AF56" s="504">
        <f t="shared" si="9"/>
        <v>0.95368421052631647</v>
      </c>
      <c r="AG56" s="616"/>
    </row>
    <row r="57" spans="1:33" ht="15.75" customHeight="1">
      <c r="A57" s="621" t="s">
        <v>2586</v>
      </c>
      <c r="B57" s="27" t="s">
        <v>5</v>
      </c>
      <c r="C57" s="605" t="s">
        <v>31</v>
      </c>
      <c r="D57" s="606"/>
      <c r="E57" s="27">
        <v>56.43</v>
      </c>
      <c r="F57" s="30">
        <v>1218</v>
      </c>
      <c r="G57" s="503">
        <f t="shared" si="35"/>
        <v>68731.740000000005</v>
      </c>
      <c r="H57" s="31" t="s">
        <v>40</v>
      </c>
      <c r="I57" s="508">
        <v>22</v>
      </c>
      <c r="J57" s="29">
        <v>2000</v>
      </c>
      <c r="K57" s="12">
        <f t="shared" si="1"/>
        <v>90.909090909090907</v>
      </c>
      <c r="L57" s="508">
        <v>22</v>
      </c>
      <c r="M57" s="13">
        <f t="shared" ref="M57:M64" si="39">F57/V57*60</f>
        <v>1923.1578947368405</v>
      </c>
      <c r="N57" s="13">
        <f t="shared" si="3"/>
        <v>87.416267942583659</v>
      </c>
      <c r="O57" s="14">
        <f t="shared" si="4"/>
        <v>0</v>
      </c>
      <c r="P57" s="15">
        <f t="shared" si="5"/>
        <v>-3.4928229665072479</v>
      </c>
      <c r="Q57" s="504">
        <f t="shared" si="6"/>
        <v>0.96157894736842031</v>
      </c>
      <c r="R57" s="616"/>
      <c r="S57" s="32">
        <v>0.26388888888888884</v>
      </c>
      <c r="T57" s="32">
        <v>0.29027777777777775</v>
      </c>
      <c r="U57" s="503">
        <f t="shared" si="38"/>
        <v>7.9999999999999716</v>
      </c>
      <c r="V57" s="509">
        <f t="shared" si="37"/>
        <v>38.000000000000028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8"/>
        <v>-76.84210526315951</v>
      </c>
      <c r="AF57" s="504">
        <f t="shared" si="9"/>
        <v>0.9615789473684202</v>
      </c>
      <c r="AG57" s="616"/>
    </row>
    <row r="58" spans="1:33" ht="15.75" customHeight="1">
      <c r="A58" s="621" t="s">
        <v>2586</v>
      </c>
      <c r="B58" s="27" t="s">
        <v>5</v>
      </c>
      <c r="C58" s="497" t="s">
        <v>81</v>
      </c>
      <c r="D58" s="498"/>
      <c r="E58" s="27">
        <v>51.44</v>
      </c>
      <c r="F58" s="30">
        <v>1748</v>
      </c>
      <c r="G58" s="503">
        <f t="shared" si="35"/>
        <v>89917.119999999995</v>
      </c>
      <c r="H58" s="31" t="s">
        <v>40</v>
      </c>
      <c r="I58" s="508">
        <v>25</v>
      </c>
      <c r="J58" s="29">
        <v>2000</v>
      </c>
      <c r="K58" s="12">
        <f t="shared" si="1"/>
        <v>80</v>
      </c>
      <c r="L58" s="508">
        <v>25</v>
      </c>
      <c r="M58" s="13">
        <f t="shared" si="39"/>
        <v>1906.9090909090921</v>
      </c>
      <c r="N58" s="13">
        <f t="shared" si="3"/>
        <v>76.276363636363683</v>
      </c>
      <c r="O58" s="14">
        <f t="shared" si="4"/>
        <v>0</v>
      </c>
      <c r="P58" s="15">
        <f t="shared" si="5"/>
        <v>-3.7236363636363166</v>
      </c>
      <c r="Q58" s="504">
        <f t="shared" si="6"/>
        <v>0.953454545454546</v>
      </c>
      <c r="R58" s="616"/>
      <c r="S58" s="32">
        <v>0.29513888888888884</v>
      </c>
      <c r="T58" s="32">
        <v>0.33333333333333326</v>
      </c>
      <c r="U58" s="503">
        <f t="shared" si="38"/>
        <v>6.9999999999999751</v>
      </c>
      <c r="V58" s="509">
        <f t="shared" si="37"/>
        <v>54.999999999999964</v>
      </c>
      <c r="W58" s="16"/>
      <c r="X58" s="16"/>
      <c r="Y58" s="19"/>
      <c r="Z58" s="19"/>
      <c r="AA58" s="612"/>
      <c r="AB58" s="612"/>
      <c r="AC58" s="18"/>
      <c r="AD58" s="18"/>
      <c r="AE58" s="14">
        <f t="shared" si="8"/>
        <v>-93.090909090907871</v>
      </c>
      <c r="AF58" s="504">
        <f t="shared" si="9"/>
        <v>0.95345454545454611</v>
      </c>
      <c r="AG58" s="616"/>
    </row>
    <row r="59" spans="1:33" ht="15.75" customHeight="1">
      <c r="A59" s="621" t="s">
        <v>2586</v>
      </c>
      <c r="B59" s="27" t="s">
        <v>8</v>
      </c>
      <c r="C59" s="497" t="s">
        <v>61</v>
      </c>
      <c r="D59" s="498"/>
      <c r="E59" s="27">
        <v>46</v>
      </c>
      <c r="F59" s="30">
        <v>1674</v>
      </c>
      <c r="G59" s="503">
        <f t="shared" si="35"/>
        <v>77004</v>
      </c>
      <c r="H59" s="31" t="s">
        <v>40</v>
      </c>
      <c r="I59" s="508">
        <v>16</v>
      </c>
      <c r="J59" s="29">
        <v>2000</v>
      </c>
      <c r="K59" s="12">
        <f t="shared" si="1"/>
        <v>125</v>
      </c>
      <c r="L59" s="508">
        <v>16</v>
      </c>
      <c r="M59" s="13">
        <f t="shared" si="39"/>
        <v>1931.5384615384623</v>
      </c>
      <c r="N59" s="13">
        <f t="shared" si="3"/>
        <v>120.7211538461539</v>
      </c>
      <c r="O59" s="14">
        <f t="shared" si="4"/>
        <v>0</v>
      </c>
      <c r="P59" s="15">
        <f t="shared" si="5"/>
        <v>-4.2788461538461036</v>
      </c>
      <c r="Q59" s="504">
        <f t="shared" si="6"/>
        <v>0.96576923076923116</v>
      </c>
      <c r="R59" s="616"/>
      <c r="S59" s="32">
        <v>0.3388888888888888</v>
      </c>
      <c r="T59" s="32">
        <v>0.37499999999999989</v>
      </c>
      <c r="U59" s="503">
        <f t="shared" si="38"/>
        <v>7.9999999999999716</v>
      </c>
      <c r="V59" s="509">
        <f t="shared" si="37"/>
        <v>51.999999999999972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-68.461538461537657</v>
      </c>
      <c r="AF59" s="504">
        <f t="shared" si="9"/>
        <v>0.96576923076923116</v>
      </c>
      <c r="AG59" s="616"/>
    </row>
    <row r="60" spans="1:33" ht="15.75" customHeight="1">
      <c r="A60" s="621" t="s">
        <v>2586</v>
      </c>
      <c r="B60" s="27" t="s">
        <v>8</v>
      </c>
      <c r="C60" s="605" t="s">
        <v>79</v>
      </c>
      <c r="D60" s="606"/>
      <c r="E60" s="27">
        <v>46</v>
      </c>
      <c r="F60" s="30">
        <v>2039</v>
      </c>
      <c r="G60" s="503">
        <f t="shared" si="35"/>
        <v>93794</v>
      </c>
      <c r="H60" s="31" t="s">
        <v>40</v>
      </c>
      <c r="I60" s="508">
        <v>17</v>
      </c>
      <c r="J60" s="29">
        <v>2000</v>
      </c>
      <c r="K60" s="12">
        <f t="shared" si="1"/>
        <v>117.64705882352941</v>
      </c>
      <c r="L60" s="508">
        <v>17</v>
      </c>
      <c r="M60" s="13">
        <f t="shared" si="39"/>
        <v>1911.5624999999995</v>
      </c>
      <c r="N60" s="13">
        <f t="shared" si="3"/>
        <v>112.44485294117645</v>
      </c>
      <c r="O60" s="14">
        <f t="shared" si="4"/>
        <v>0</v>
      </c>
      <c r="P60" s="15">
        <f t="shared" si="5"/>
        <v>-5.2022058823529562</v>
      </c>
      <c r="Q60" s="504">
        <f t="shared" si="6"/>
        <v>0.95578124999999992</v>
      </c>
      <c r="R60" s="616"/>
      <c r="S60" s="32">
        <v>0.3784722222222221</v>
      </c>
      <c r="T60" s="32">
        <v>0.42291666666666655</v>
      </c>
      <c r="U60" s="503">
        <f t="shared" si="38"/>
        <v>4.9999999999999822</v>
      </c>
      <c r="V60" s="509">
        <f t="shared" si="37"/>
        <v>64.000000000000014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8"/>
        <v>-88.437500000000455</v>
      </c>
      <c r="AF60" s="504">
        <f t="shared" si="9"/>
        <v>0.9557812499999998</v>
      </c>
      <c r="AG60" s="616"/>
    </row>
    <row r="61" spans="1:33" ht="15.75" customHeight="1">
      <c r="A61" s="621" t="s">
        <v>2586</v>
      </c>
      <c r="B61" s="27" t="s">
        <v>5</v>
      </c>
      <c r="C61" s="605" t="s">
        <v>32</v>
      </c>
      <c r="D61" s="606"/>
      <c r="E61" s="27">
        <v>55.56</v>
      </c>
      <c r="F61" s="30">
        <v>1000</v>
      </c>
      <c r="G61" s="503">
        <f t="shared" si="35"/>
        <v>55560</v>
      </c>
      <c r="H61" s="31">
        <v>2</v>
      </c>
      <c r="I61" s="508">
        <v>17</v>
      </c>
      <c r="J61" s="29">
        <v>2000</v>
      </c>
      <c r="K61" s="12">
        <f t="shared" si="1"/>
        <v>117.64705882352941</v>
      </c>
      <c r="L61" s="508">
        <v>17</v>
      </c>
      <c r="M61" s="13">
        <f t="shared" si="39"/>
        <v>1935.483870967739</v>
      </c>
      <c r="N61" s="13">
        <f t="shared" si="3"/>
        <v>113.85199240986699</v>
      </c>
      <c r="O61" s="14">
        <f t="shared" si="4"/>
        <v>0</v>
      </c>
      <c r="P61" s="15">
        <f t="shared" si="5"/>
        <v>-3.7950664136624113</v>
      </c>
      <c r="Q61" s="504">
        <f t="shared" si="6"/>
        <v>0.96774193548386955</v>
      </c>
      <c r="R61" s="616"/>
      <c r="S61" s="32">
        <v>0.70833333333333337</v>
      </c>
      <c r="T61" s="32">
        <v>0.72986111111111118</v>
      </c>
      <c r="U61" s="503" t="str">
        <f t="shared" si="38"/>
        <v/>
      </c>
      <c r="V61" s="509">
        <f t="shared" si="37"/>
        <v>31.00000000000005</v>
      </c>
      <c r="W61" s="16"/>
      <c r="X61" s="16"/>
      <c r="Y61" s="19"/>
      <c r="Z61" s="19"/>
      <c r="AA61" s="607"/>
      <c r="AB61" s="608"/>
      <c r="AC61" s="18"/>
      <c r="AD61" s="18"/>
      <c r="AE61" s="14">
        <f t="shared" si="8"/>
        <v>-64.516129032261006</v>
      </c>
      <c r="AF61" s="504">
        <f t="shared" si="9"/>
        <v>0.96774193548386944</v>
      </c>
      <c r="AG61" s="616"/>
    </row>
    <row r="62" spans="1:33" ht="15.75" customHeight="1">
      <c r="A62" s="621" t="s">
        <v>2586</v>
      </c>
      <c r="B62" s="27" t="s">
        <v>5</v>
      </c>
      <c r="C62" s="605" t="s">
        <v>77</v>
      </c>
      <c r="D62" s="606"/>
      <c r="E62" s="27">
        <v>54.09</v>
      </c>
      <c r="F62" s="30">
        <v>1024</v>
      </c>
      <c r="G62" s="503">
        <f t="shared" si="35"/>
        <v>55388.160000000003</v>
      </c>
      <c r="H62" s="31" t="s">
        <v>40</v>
      </c>
      <c r="I62" s="508">
        <v>13</v>
      </c>
      <c r="J62" s="29">
        <v>2000</v>
      </c>
      <c r="K62" s="12">
        <f t="shared" si="1"/>
        <v>153.84615384615384</v>
      </c>
      <c r="L62" s="508">
        <v>13</v>
      </c>
      <c r="M62" s="13">
        <f t="shared" si="39"/>
        <v>1919.9999999999975</v>
      </c>
      <c r="N62" s="13">
        <f t="shared" si="3"/>
        <v>147.69230769230751</v>
      </c>
      <c r="O62" s="14">
        <f t="shared" si="4"/>
        <v>0</v>
      </c>
      <c r="P62" s="15">
        <f t="shared" si="5"/>
        <v>-6.1538461538463309</v>
      </c>
      <c r="Q62" s="504">
        <f t="shared" si="6"/>
        <v>0.95999999999999885</v>
      </c>
      <c r="R62" s="616"/>
      <c r="S62" s="32">
        <v>0.73472222222222228</v>
      </c>
      <c r="T62" s="32">
        <v>0.75694444444444453</v>
      </c>
      <c r="U62" s="503">
        <f t="shared" si="38"/>
        <v>6.9999999999999751</v>
      </c>
      <c r="V62" s="509">
        <f t="shared" si="37"/>
        <v>32.000000000000043</v>
      </c>
      <c r="W62" s="16"/>
      <c r="X62" s="16"/>
      <c r="Y62" s="19"/>
      <c r="Z62" s="19"/>
      <c r="AA62" s="607"/>
      <c r="AB62" s="608"/>
      <c r="AC62" s="18"/>
      <c r="AD62" s="18"/>
      <c r="AE62" s="14">
        <f t="shared" si="8"/>
        <v>-80.000000000002501</v>
      </c>
      <c r="AF62" s="504">
        <f t="shared" si="9"/>
        <v>0.95999999999999874</v>
      </c>
      <c r="AG62" s="616"/>
    </row>
    <row r="63" spans="1:33">
      <c r="A63" s="621" t="s">
        <v>2586</v>
      </c>
      <c r="B63" s="27" t="s">
        <v>5</v>
      </c>
      <c r="C63" s="497" t="s">
        <v>62</v>
      </c>
      <c r="D63" s="498"/>
      <c r="E63" s="27">
        <v>51.06</v>
      </c>
      <c r="F63" s="30">
        <v>3246</v>
      </c>
      <c r="G63" s="503">
        <f t="shared" si="35"/>
        <v>165740.76</v>
      </c>
      <c r="H63" s="31" t="s">
        <v>40</v>
      </c>
      <c r="I63" s="508">
        <v>13</v>
      </c>
      <c r="J63" s="29">
        <v>2000</v>
      </c>
      <c r="K63" s="12">
        <f t="shared" si="1"/>
        <v>153.84615384615384</v>
      </c>
      <c r="L63" s="508">
        <v>13</v>
      </c>
      <c r="M63" s="13">
        <f t="shared" si="39"/>
        <v>1909.4117647058833</v>
      </c>
      <c r="N63" s="13">
        <f t="shared" si="3"/>
        <v>146.87782805429873</v>
      </c>
      <c r="O63" s="14">
        <f t="shared" si="4"/>
        <v>0</v>
      </c>
      <c r="P63" s="15">
        <f t="shared" si="5"/>
        <v>-6.9683257918551078</v>
      </c>
      <c r="Q63" s="504">
        <f t="shared" si="6"/>
        <v>0.95470588235294185</v>
      </c>
      <c r="R63" s="616"/>
      <c r="S63" s="32">
        <v>0.76111111111111118</v>
      </c>
      <c r="T63" s="32">
        <v>0.83194444444444449</v>
      </c>
      <c r="U63" s="503">
        <f t="shared" si="38"/>
        <v>5.9999999999999787</v>
      </c>
      <c r="V63" s="509">
        <f t="shared" si="37"/>
        <v>101.99999999999996</v>
      </c>
      <c r="W63" s="16">
        <f>T63</f>
        <v>0.83194444444444449</v>
      </c>
      <c r="X63" s="16">
        <f>S64</f>
        <v>0.87222222222222223</v>
      </c>
      <c r="Y63" s="19"/>
      <c r="Z63" s="19"/>
      <c r="AA63" s="499"/>
      <c r="AB63" s="500"/>
      <c r="AC63" s="18"/>
      <c r="AD63" s="18"/>
      <c r="AE63" s="14">
        <f t="shared" si="8"/>
        <v>-90.588235294116657</v>
      </c>
      <c r="AF63" s="504">
        <f t="shared" si="9"/>
        <v>0.95470588235294163</v>
      </c>
      <c r="AG63" s="616"/>
    </row>
    <row r="64" spans="1:33">
      <c r="A64" s="621" t="s">
        <v>2586</v>
      </c>
      <c r="B64" s="27" t="s">
        <v>5</v>
      </c>
      <c r="C64" s="605" t="s">
        <v>32</v>
      </c>
      <c r="D64" s="606"/>
      <c r="E64" s="27">
        <v>55.56</v>
      </c>
      <c r="F64" s="30">
        <v>1386</v>
      </c>
      <c r="G64" s="503">
        <f t="shared" si="35"/>
        <v>77006.16</v>
      </c>
      <c r="H64" s="31" t="s">
        <v>40</v>
      </c>
      <c r="I64" s="508">
        <v>17</v>
      </c>
      <c r="J64" s="29">
        <v>2000</v>
      </c>
      <c r="K64" s="12">
        <f t="shared" si="1"/>
        <v>117.64705882352941</v>
      </c>
      <c r="L64" s="508">
        <v>17</v>
      </c>
      <c r="M64" s="13">
        <f t="shared" si="39"/>
        <v>1933.9534883720928</v>
      </c>
      <c r="N64" s="13">
        <f t="shared" si="3"/>
        <v>113.76196990424076</v>
      </c>
      <c r="O64" s="14">
        <f t="shared" si="4"/>
        <v>0</v>
      </c>
      <c r="P64" s="15">
        <f t="shared" si="5"/>
        <v>-3.8850889192886484</v>
      </c>
      <c r="Q64" s="504">
        <f t="shared" si="6"/>
        <v>0.96697674418604651</v>
      </c>
      <c r="R64" s="616"/>
      <c r="S64" s="32">
        <v>0.87222222222222223</v>
      </c>
      <c r="T64" s="32">
        <v>0.90208333333333335</v>
      </c>
      <c r="U64" s="503">
        <f t="shared" si="38"/>
        <v>57.999999999999957</v>
      </c>
      <c r="V64" s="509">
        <f t="shared" si="37"/>
        <v>43.000000000000007</v>
      </c>
      <c r="W64" s="16"/>
      <c r="X64" s="16"/>
      <c r="Y64" s="19"/>
      <c r="Z64" s="19"/>
      <c r="AA64" s="607"/>
      <c r="AB64" s="608"/>
      <c r="AC64" s="18"/>
      <c r="AD64" s="18"/>
      <c r="AE64" s="14">
        <f t="shared" si="8"/>
        <v>-66.046511627907194</v>
      </c>
      <c r="AF64" s="504">
        <f t="shared" si="9"/>
        <v>0.9669767441860464</v>
      </c>
      <c r="AG64" s="616"/>
    </row>
    <row r="65" spans="1:33">
      <c r="A65" s="622" t="s">
        <v>2586</v>
      </c>
      <c r="B65" s="27" t="s">
        <v>2579</v>
      </c>
      <c r="C65" s="658"/>
      <c r="D65" s="658"/>
      <c r="E65" s="505"/>
      <c r="F65" s="28"/>
      <c r="G65" s="12"/>
      <c r="H65" s="510"/>
      <c r="I65" s="21">
        <v>17.7</v>
      </c>
      <c r="J65" s="29">
        <v>2000</v>
      </c>
      <c r="K65" s="12">
        <f t="shared" si="1"/>
        <v>112.99435028248588</v>
      </c>
      <c r="L65" s="21">
        <v>17.7</v>
      </c>
      <c r="M65" s="13">
        <f>AVERAGE(M55:M64)</f>
        <v>1918.8734604708775</v>
      </c>
      <c r="N65" s="12">
        <f t="shared" si="3"/>
        <v>108.41092997010608</v>
      </c>
      <c r="O65" s="14">
        <f t="shared" si="4"/>
        <v>0</v>
      </c>
      <c r="P65" s="15">
        <f t="shared" si="5"/>
        <v>-4.5834203123798005</v>
      </c>
      <c r="Q65" s="504">
        <f t="shared" si="6"/>
        <v>0.95943673023543874</v>
      </c>
      <c r="R65" s="616"/>
      <c r="S65" s="32"/>
      <c r="T65" s="32"/>
      <c r="U65" s="503"/>
      <c r="V65" s="509"/>
      <c r="W65" s="12"/>
      <c r="X65" s="12"/>
      <c r="Y65" s="22">
        <f>SUM(Y55:Y64)</f>
        <v>0</v>
      </c>
      <c r="Z65" s="22">
        <f>SUM(Z55:Z64)</f>
        <v>0</v>
      </c>
      <c r="AA65" s="611"/>
      <c r="AB65" s="611"/>
      <c r="AC65" s="22">
        <v>10</v>
      </c>
      <c r="AD65" s="22">
        <f>SUM(AD55:AD64)</f>
        <v>0</v>
      </c>
      <c r="AE65" s="14">
        <f>M65-J65</f>
        <v>-81.12653952912251</v>
      </c>
      <c r="AF65" s="504">
        <f t="shared" si="9"/>
        <v>0.95943673023543874</v>
      </c>
      <c r="AG65" s="616"/>
    </row>
    <row r="66" spans="1:33" ht="15.75" customHeight="1">
      <c r="A66" s="617" t="s">
        <v>2587</v>
      </c>
      <c r="B66" s="510" t="s">
        <v>27</v>
      </c>
      <c r="C66" s="660" t="s">
        <v>28</v>
      </c>
      <c r="D66" s="660"/>
      <c r="E66" s="27">
        <v>35.119999999999997</v>
      </c>
      <c r="F66" s="30">
        <v>4341</v>
      </c>
      <c r="G66" s="503">
        <f t="shared" ref="G66:G69" si="40">E66*F66</f>
        <v>152455.91999999998</v>
      </c>
      <c r="H66" s="31" t="s">
        <v>40</v>
      </c>
      <c r="I66" s="508">
        <v>10</v>
      </c>
      <c r="J66" s="29">
        <v>3000</v>
      </c>
      <c r="K66" s="12">
        <f t="shared" si="1"/>
        <v>300</v>
      </c>
      <c r="L66" s="508">
        <v>10</v>
      </c>
      <c r="M66" s="13">
        <f t="shared" ref="M66:M69" si="41">F66/V66*60</f>
        <v>2862.1978021978007</v>
      </c>
      <c r="N66" s="12">
        <f t="shared" si="3"/>
        <v>286.21978021978009</v>
      </c>
      <c r="O66" s="14">
        <f t="shared" si="4"/>
        <v>0</v>
      </c>
      <c r="P66" s="15">
        <f t="shared" si="5"/>
        <v>-13.780219780219909</v>
      </c>
      <c r="Q66" s="504">
        <f t="shared" si="6"/>
        <v>0.95406593406593365</v>
      </c>
      <c r="R66" s="616">
        <f>Q70</f>
        <v>0.95712111502425912</v>
      </c>
      <c r="S66" s="32">
        <v>0.20833333333333334</v>
      </c>
      <c r="T66" s="32">
        <v>0.27152777777777781</v>
      </c>
      <c r="U66" s="503"/>
      <c r="V66" s="509">
        <f t="shared" ref="V66:V69" si="42">(T66-S66)*24*60</f>
        <v>91.000000000000043</v>
      </c>
      <c r="W66" s="16"/>
      <c r="X66" s="16"/>
      <c r="Y66" s="20"/>
      <c r="Z66" s="20"/>
      <c r="AA66" s="612"/>
      <c r="AB66" s="612"/>
      <c r="AC66" s="18">
        <v>4</v>
      </c>
      <c r="AD66" s="18"/>
      <c r="AE66" s="14">
        <f t="shared" ref="AE66:AE80" si="43">M66-J66</f>
        <v>-137.80219780219932</v>
      </c>
      <c r="AF66" s="504">
        <f t="shared" si="9"/>
        <v>0.95406593406593354</v>
      </c>
      <c r="AG66" s="616">
        <f>AF70</f>
        <v>0.95712111502425901</v>
      </c>
    </row>
    <row r="67" spans="1:33" ht="15.75" customHeight="1">
      <c r="A67" s="617" t="s">
        <v>2587</v>
      </c>
      <c r="B67" s="510" t="s">
        <v>27</v>
      </c>
      <c r="C67" s="660" t="s">
        <v>34</v>
      </c>
      <c r="D67" s="660"/>
      <c r="E67" s="27">
        <v>26.78</v>
      </c>
      <c r="F67" s="30">
        <v>2443</v>
      </c>
      <c r="G67" s="503">
        <f t="shared" si="40"/>
        <v>65423.54</v>
      </c>
      <c r="H67" s="31" t="s">
        <v>40</v>
      </c>
      <c r="I67" s="508">
        <v>10</v>
      </c>
      <c r="J67" s="29">
        <v>3000</v>
      </c>
      <c r="K67" s="12">
        <f t="shared" si="1"/>
        <v>300</v>
      </c>
      <c r="L67" s="508">
        <v>10</v>
      </c>
      <c r="M67" s="13">
        <f t="shared" si="41"/>
        <v>2874.1176470588248</v>
      </c>
      <c r="N67" s="12">
        <f t="shared" si="3"/>
        <v>287.41176470588249</v>
      </c>
      <c r="O67" s="14">
        <f t="shared" si="4"/>
        <v>0</v>
      </c>
      <c r="P67" s="15">
        <f t="shared" si="5"/>
        <v>-12.58823529411751</v>
      </c>
      <c r="Q67" s="504">
        <f t="shared" si="6"/>
        <v>0.95803921568627493</v>
      </c>
      <c r="R67" s="616"/>
      <c r="S67" s="32">
        <v>0.27708333333333335</v>
      </c>
      <c r="T67" s="32">
        <v>0.3125</v>
      </c>
      <c r="U67" s="503">
        <f t="shared" ref="U67:U69" si="44">(S67-T66)*24*60</f>
        <v>7.9999999999999716</v>
      </c>
      <c r="V67" s="509">
        <f t="shared" si="42"/>
        <v>50.999999999999979</v>
      </c>
      <c r="W67" s="503"/>
      <c r="X67" s="503"/>
      <c r="Y67" s="503"/>
      <c r="Z67" s="503"/>
      <c r="AA67" s="612"/>
      <c r="AB67" s="612"/>
      <c r="AC67" s="18"/>
      <c r="AD67" s="18"/>
      <c r="AE67" s="14">
        <f t="shared" si="43"/>
        <v>-125.88235294117521</v>
      </c>
      <c r="AF67" s="504">
        <f t="shared" si="9"/>
        <v>0.95803921568627493</v>
      </c>
      <c r="AG67" s="616"/>
    </row>
    <row r="68" spans="1:33" ht="15.75" customHeight="1">
      <c r="A68" s="617" t="s">
        <v>2587</v>
      </c>
      <c r="B68" s="510" t="s">
        <v>27</v>
      </c>
      <c r="C68" s="660" t="s">
        <v>737</v>
      </c>
      <c r="D68" s="660"/>
      <c r="E68" s="27">
        <v>36.14</v>
      </c>
      <c r="F68" s="30">
        <v>1930</v>
      </c>
      <c r="G68" s="503">
        <f t="shared" si="40"/>
        <v>69750.2</v>
      </c>
      <c r="H68" s="31" t="s">
        <v>40</v>
      </c>
      <c r="I68" s="508">
        <v>11</v>
      </c>
      <c r="J68" s="29">
        <v>3000</v>
      </c>
      <c r="K68" s="12">
        <f t="shared" si="1"/>
        <v>272.72727272727275</v>
      </c>
      <c r="L68" s="508">
        <v>11</v>
      </c>
      <c r="M68" s="13">
        <f t="shared" si="41"/>
        <v>2894.9999999999991</v>
      </c>
      <c r="N68" s="12">
        <f t="shared" si="3"/>
        <v>263.18181818181807</v>
      </c>
      <c r="O68" s="14">
        <f t="shared" si="4"/>
        <v>0</v>
      </c>
      <c r="P68" s="15">
        <f t="shared" si="5"/>
        <v>-9.5454545454546746</v>
      </c>
      <c r="Q68" s="504">
        <f t="shared" si="6"/>
        <v>0.96499999999999952</v>
      </c>
      <c r="R68" s="616"/>
      <c r="S68" s="32">
        <v>0.31736111111111109</v>
      </c>
      <c r="T68" s="32">
        <v>0.34513888888888888</v>
      </c>
      <c r="U68" s="503">
        <f t="shared" si="44"/>
        <v>6.9999999999999751</v>
      </c>
      <c r="V68" s="509">
        <f t="shared" si="42"/>
        <v>40.000000000000014</v>
      </c>
      <c r="W68" s="503"/>
      <c r="X68" s="503"/>
      <c r="Y68" s="503"/>
      <c r="Z68" s="503"/>
      <c r="AA68" s="612"/>
      <c r="AB68" s="612"/>
      <c r="AC68" s="18"/>
      <c r="AD68" s="18"/>
      <c r="AE68" s="14">
        <f t="shared" si="43"/>
        <v>-105.00000000000091</v>
      </c>
      <c r="AF68" s="504">
        <f t="shared" si="9"/>
        <v>0.96499999999999975</v>
      </c>
      <c r="AG68" s="616"/>
    </row>
    <row r="69" spans="1:33" ht="15.75" customHeight="1">
      <c r="A69" s="617" t="s">
        <v>2587</v>
      </c>
      <c r="B69" s="510" t="s">
        <v>27</v>
      </c>
      <c r="C69" s="660" t="s">
        <v>2493</v>
      </c>
      <c r="D69" s="660"/>
      <c r="E69" s="27">
        <v>35.869999999999997</v>
      </c>
      <c r="F69" s="30">
        <v>5518</v>
      </c>
      <c r="G69" s="503">
        <f t="shared" si="40"/>
        <v>197930.65999999997</v>
      </c>
      <c r="H69" s="31" t="s">
        <v>40</v>
      </c>
      <c r="I69" s="508">
        <v>10</v>
      </c>
      <c r="J69" s="29">
        <v>3000</v>
      </c>
      <c r="K69" s="12">
        <f t="shared" ref="K69:K80" si="45">J69/I69</f>
        <v>300</v>
      </c>
      <c r="L69" s="508">
        <v>10</v>
      </c>
      <c r="M69" s="13">
        <f t="shared" si="41"/>
        <v>2854.1379310344832</v>
      </c>
      <c r="N69" s="12">
        <f t="shared" ref="N69:N80" si="46">M69/L69</f>
        <v>285.41379310344831</v>
      </c>
      <c r="O69" s="14">
        <f t="shared" ref="O69:O80" si="47">L69-I69</f>
        <v>0</v>
      </c>
      <c r="P69" s="15">
        <f t="shared" ref="P69:P80" si="48">N69-K69</f>
        <v>-14.586206896551687</v>
      </c>
      <c r="Q69" s="504">
        <f t="shared" ref="Q69:Q80" si="49">N69/K69</f>
        <v>0.9513793103448277</v>
      </c>
      <c r="R69" s="616"/>
      <c r="S69" s="32">
        <v>0.35</v>
      </c>
      <c r="T69" s="32">
        <v>0.43055555555555552</v>
      </c>
      <c r="U69" s="503">
        <f t="shared" si="44"/>
        <v>6.9999999999999751</v>
      </c>
      <c r="V69" s="509">
        <f t="shared" si="42"/>
        <v>115.99999999999999</v>
      </c>
      <c r="W69" s="503"/>
      <c r="X69" s="503"/>
      <c r="Y69" s="503"/>
      <c r="Z69" s="503"/>
      <c r="AA69" s="612"/>
      <c r="AB69" s="612"/>
      <c r="AC69" s="18"/>
      <c r="AD69" s="18"/>
      <c r="AE69" s="14">
        <f t="shared" si="43"/>
        <v>-145.86206896551676</v>
      </c>
      <c r="AF69" s="504">
        <f t="shared" ref="AF69:AF80" si="50">M69/J69</f>
        <v>0.9513793103448277</v>
      </c>
      <c r="AG69" s="616"/>
    </row>
    <row r="70" spans="1:33">
      <c r="A70" s="618" t="s">
        <v>2587</v>
      </c>
      <c r="B70" s="27" t="s">
        <v>2579</v>
      </c>
      <c r="C70" s="658"/>
      <c r="D70" s="658"/>
      <c r="E70" s="505"/>
      <c r="F70" s="28"/>
      <c r="G70" s="12"/>
      <c r="H70" s="510"/>
      <c r="I70" s="21">
        <v>10.25</v>
      </c>
      <c r="J70" s="29">
        <v>3000</v>
      </c>
      <c r="K70" s="12">
        <f t="shared" si="45"/>
        <v>292.6829268292683</v>
      </c>
      <c r="L70" s="21">
        <v>10.25</v>
      </c>
      <c r="M70" s="13">
        <f>AVERAGE(M66:M69)</f>
        <v>2871.3633450727771</v>
      </c>
      <c r="N70" s="12">
        <f t="shared" si="46"/>
        <v>280.13300927539291</v>
      </c>
      <c r="O70" s="14">
        <f t="shared" si="47"/>
        <v>0</v>
      </c>
      <c r="P70" s="15">
        <f t="shared" si="48"/>
        <v>-12.549917553875389</v>
      </c>
      <c r="Q70" s="504">
        <f t="shared" si="49"/>
        <v>0.95712111502425912</v>
      </c>
      <c r="R70" s="616"/>
      <c r="S70" s="32"/>
      <c r="T70" s="32"/>
      <c r="U70" s="12"/>
      <c r="V70" s="509"/>
      <c r="W70" s="12"/>
      <c r="X70" s="12"/>
      <c r="Y70" s="22">
        <f>SUM(Y66:Y69)</f>
        <v>0</v>
      </c>
      <c r="Z70" s="22">
        <f>SUM(Z66:Z69)</f>
        <v>0</v>
      </c>
      <c r="AA70" s="611"/>
      <c r="AB70" s="611"/>
      <c r="AC70" s="22">
        <v>4</v>
      </c>
      <c r="AD70" s="22">
        <f>SUM(AD66:AD69)</f>
        <v>0</v>
      </c>
      <c r="AE70" s="14">
        <f t="shared" si="43"/>
        <v>-128.63665492722293</v>
      </c>
      <c r="AF70" s="504">
        <f t="shared" si="50"/>
        <v>0.95712111502425901</v>
      </c>
      <c r="AG70" s="616"/>
    </row>
    <row r="71" spans="1:33" ht="15.75" customHeight="1">
      <c r="A71" s="613" t="s">
        <v>2588</v>
      </c>
      <c r="B71" s="510" t="s">
        <v>20</v>
      </c>
      <c r="C71" s="660" t="s">
        <v>39</v>
      </c>
      <c r="D71" s="660"/>
      <c r="E71" s="27">
        <v>19.02</v>
      </c>
      <c r="F71" s="510">
        <v>4900</v>
      </c>
      <c r="G71" s="503">
        <f t="shared" ref="G71:G79" si="51">E71*F71</f>
        <v>93198</v>
      </c>
      <c r="H71" s="31">
        <v>2</v>
      </c>
      <c r="I71" s="508">
        <v>14</v>
      </c>
      <c r="J71" s="29">
        <v>2400</v>
      </c>
      <c r="K71" s="12">
        <f t="shared" si="45"/>
        <v>171.42857142857142</v>
      </c>
      <c r="L71" s="508">
        <v>14</v>
      </c>
      <c r="M71" s="13">
        <f t="shared" ref="M71:M79" si="52">F71/V71*60</f>
        <v>2296.875</v>
      </c>
      <c r="N71" s="12">
        <f t="shared" si="46"/>
        <v>164.0625</v>
      </c>
      <c r="O71" s="14">
        <f t="shared" si="47"/>
        <v>0</v>
      </c>
      <c r="P71" s="15">
        <f t="shared" si="48"/>
        <v>-7.3660714285714164</v>
      </c>
      <c r="Q71" s="504">
        <f t="shared" si="49"/>
        <v>0.95703125000000011</v>
      </c>
      <c r="R71" s="616">
        <f>Q80</f>
        <v>0.95676431835579179</v>
      </c>
      <c r="S71" s="32">
        <v>8.3333333333333329E-2</v>
      </c>
      <c r="T71" s="32">
        <v>0.17222222222222222</v>
      </c>
      <c r="U71" s="20"/>
      <c r="V71" s="509">
        <f t="shared" ref="V71:V79" si="53">(T71-S71)*24*60</f>
        <v>128</v>
      </c>
      <c r="W71" s="16">
        <f>T71</f>
        <v>0.17222222222222222</v>
      </c>
      <c r="X71" s="16">
        <f>S72</f>
        <v>0.1895833333333333</v>
      </c>
      <c r="Y71" s="16"/>
      <c r="Z71" s="16"/>
      <c r="AA71" s="612"/>
      <c r="AB71" s="612"/>
      <c r="AC71" s="18">
        <v>9</v>
      </c>
      <c r="AD71" s="18"/>
      <c r="AE71" s="14">
        <f t="shared" si="43"/>
        <v>-103.125</v>
      </c>
      <c r="AF71" s="504">
        <f t="shared" si="50"/>
        <v>0.95703125</v>
      </c>
      <c r="AG71" s="616">
        <f>AF80</f>
        <v>0.95676431835579179</v>
      </c>
    </row>
    <row r="72" spans="1:33" ht="15.75" customHeight="1">
      <c r="A72" s="614" t="s">
        <v>2588</v>
      </c>
      <c r="B72" s="510" t="s">
        <v>20</v>
      </c>
      <c r="C72" s="660" t="s">
        <v>24</v>
      </c>
      <c r="D72" s="660"/>
      <c r="E72" s="27">
        <v>20.36</v>
      </c>
      <c r="F72" s="510">
        <v>4331</v>
      </c>
      <c r="G72" s="503">
        <f t="shared" si="51"/>
        <v>88179.16</v>
      </c>
      <c r="H72" s="31" t="s">
        <v>40</v>
      </c>
      <c r="I72" s="508">
        <v>17</v>
      </c>
      <c r="J72" s="29">
        <v>2400</v>
      </c>
      <c r="K72" s="12">
        <f t="shared" si="45"/>
        <v>141.1764705882353</v>
      </c>
      <c r="L72" s="508">
        <v>17</v>
      </c>
      <c r="M72" s="13">
        <f t="shared" si="52"/>
        <v>2299.6460176991159</v>
      </c>
      <c r="N72" s="12">
        <f t="shared" si="46"/>
        <v>135.27329515877153</v>
      </c>
      <c r="O72" s="14">
        <f t="shared" si="47"/>
        <v>0</v>
      </c>
      <c r="P72" s="15">
        <f t="shared" si="48"/>
        <v>-5.9031754294637722</v>
      </c>
      <c r="Q72" s="504">
        <f t="shared" si="49"/>
        <v>0.95818584070796498</v>
      </c>
      <c r="R72" s="616"/>
      <c r="S72" s="32">
        <v>0.1895833333333333</v>
      </c>
      <c r="T72" s="32">
        <v>0.26805555555555549</v>
      </c>
      <c r="U72" s="503">
        <f t="shared" ref="U72:U79" si="54">(S72-T71)*24*60</f>
        <v>24.99999999999995</v>
      </c>
      <c r="V72" s="509">
        <f t="shared" si="53"/>
        <v>112.99999999999996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-100.35398230088413</v>
      </c>
      <c r="AF72" s="504">
        <f t="shared" si="50"/>
        <v>0.95818584070796498</v>
      </c>
      <c r="AG72" s="616"/>
    </row>
    <row r="73" spans="1:33" ht="15.75" customHeight="1">
      <c r="A73" s="614" t="s">
        <v>2588</v>
      </c>
      <c r="B73" s="510" t="s">
        <v>20</v>
      </c>
      <c r="C73" s="660" t="s">
        <v>80</v>
      </c>
      <c r="D73" s="660"/>
      <c r="E73" s="27">
        <v>25.98</v>
      </c>
      <c r="F73" s="510">
        <v>1700</v>
      </c>
      <c r="G73" s="503">
        <f t="shared" si="51"/>
        <v>44166</v>
      </c>
      <c r="H73" s="31">
        <v>2</v>
      </c>
      <c r="I73" s="508">
        <v>17</v>
      </c>
      <c r="J73" s="29">
        <v>2400</v>
      </c>
      <c r="K73" s="12">
        <f t="shared" si="45"/>
        <v>141.1764705882353</v>
      </c>
      <c r="L73" s="508">
        <v>17</v>
      </c>
      <c r="M73" s="13">
        <f t="shared" si="52"/>
        <v>2318.181818181818</v>
      </c>
      <c r="N73" s="12">
        <f t="shared" si="46"/>
        <v>136.36363636363635</v>
      </c>
      <c r="O73" s="14">
        <f t="shared" si="47"/>
        <v>0</v>
      </c>
      <c r="P73" s="15">
        <f t="shared" si="48"/>
        <v>-4.8128342245989586</v>
      </c>
      <c r="Q73" s="504">
        <f t="shared" si="49"/>
        <v>0.96590909090909072</v>
      </c>
      <c r="R73" s="616"/>
      <c r="S73" s="32">
        <v>0.27291666666666659</v>
      </c>
      <c r="T73" s="32">
        <v>0.30347222222222214</v>
      </c>
      <c r="U73" s="503">
        <f t="shared" si="54"/>
        <v>6.9999999999999751</v>
      </c>
      <c r="V73" s="509">
        <f t="shared" si="53"/>
        <v>44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-81.818181818181984</v>
      </c>
      <c r="AF73" s="504">
        <f t="shared" si="50"/>
        <v>0.96590909090909083</v>
      </c>
      <c r="AG73" s="616"/>
    </row>
    <row r="74" spans="1:33" ht="15.75" customHeight="1">
      <c r="A74" s="614" t="s">
        <v>2588</v>
      </c>
      <c r="B74" s="510" t="s">
        <v>20</v>
      </c>
      <c r="C74" s="660" t="s">
        <v>739</v>
      </c>
      <c r="D74" s="660"/>
      <c r="E74" s="27">
        <v>28.29</v>
      </c>
      <c r="F74" s="510">
        <v>2600</v>
      </c>
      <c r="G74" s="503">
        <f t="shared" si="51"/>
        <v>73554</v>
      </c>
      <c r="H74" s="31">
        <v>2</v>
      </c>
      <c r="I74" s="508">
        <v>21</v>
      </c>
      <c r="J74" s="29">
        <v>2400</v>
      </c>
      <c r="K74" s="12">
        <f t="shared" si="45"/>
        <v>114.28571428571429</v>
      </c>
      <c r="L74" s="508">
        <v>21</v>
      </c>
      <c r="M74" s="13">
        <f t="shared" si="52"/>
        <v>2294.1176470588234</v>
      </c>
      <c r="N74" s="12">
        <f t="shared" si="46"/>
        <v>109.24369747899159</v>
      </c>
      <c r="O74" s="14">
        <f t="shared" si="47"/>
        <v>0</v>
      </c>
      <c r="P74" s="15">
        <f t="shared" si="48"/>
        <v>-5.0420168067226996</v>
      </c>
      <c r="Q74" s="504">
        <f t="shared" si="49"/>
        <v>0.95588235294117641</v>
      </c>
      <c r="R74" s="616"/>
      <c r="S74" s="32">
        <v>0.30694444444444435</v>
      </c>
      <c r="T74" s="32">
        <v>0.35416666666666657</v>
      </c>
      <c r="U74" s="503">
        <f t="shared" si="54"/>
        <v>4.9999999999999822</v>
      </c>
      <c r="V74" s="509">
        <f t="shared" si="53"/>
        <v>68</v>
      </c>
      <c r="W74" s="16"/>
      <c r="X74" s="16"/>
      <c r="Y74" s="16"/>
      <c r="Z74" s="16"/>
      <c r="AA74" s="612"/>
      <c r="AB74" s="612"/>
      <c r="AC74" s="18"/>
      <c r="AD74" s="18"/>
      <c r="AE74" s="14">
        <f t="shared" si="43"/>
        <v>-105.88235294117658</v>
      </c>
      <c r="AF74" s="504">
        <f t="shared" si="50"/>
        <v>0.95588235294117641</v>
      </c>
      <c r="AG74" s="616"/>
    </row>
    <row r="75" spans="1:33" ht="15.75" customHeight="1">
      <c r="A75" s="614" t="s">
        <v>2588</v>
      </c>
      <c r="B75" s="510" t="s">
        <v>20</v>
      </c>
      <c r="C75" s="660" t="s">
        <v>1420</v>
      </c>
      <c r="D75" s="660"/>
      <c r="E75" s="27">
        <v>24.25</v>
      </c>
      <c r="F75" s="510">
        <v>2900</v>
      </c>
      <c r="G75" s="503">
        <f t="shared" si="51"/>
        <v>70325</v>
      </c>
      <c r="H75" s="31">
        <v>2</v>
      </c>
      <c r="I75" s="508">
        <v>17</v>
      </c>
      <c r="J75" s="29">
        <v>2400</v>
      </c>
      <c r="K75" s="12">
        <f t="shared" si="45"/>
        <v>141.1764705882353</v>
      </c>
      <c r="L75" s="508">
        <v>17</v>
      </c>
      <c r="M75" s="13">
        <f t="shared" si="52"/>
        <v>2289.4736842105272</v>
      </c>
      <c r="N75" s="12">
        <f t="shared" si="46"/>
        <v>134.67492260061925</v>
      </c>
      <c r="O75" s="14">
        <f t="shared" si="47"/>
        <v>0</v>
      </c>
      <c r="P75" s="15">
        <f t="shared" si="48"/>
        <v>-6.5015479876160498</v>
      </c>
      <c r="Q75" s="504">
        <f t="shared" si="49"/>
        <v>0.95394736842105299</v>
      </c>
      <c r="R75" s="616"/>
      <c r="S75" s="32">
        <v>0.35763888888888878</v>
      </c>
      <c r="T75" s="32">
        <v>0.41041666666666654</v>
      </c>
      <c r="U75" s="503">
        <f t="shared" si="54"/>
        <v>4.9999999999999822</v>
      </c>
      <c r="V75" s="509">
        <f t="shared" si="53"/>
        <v>75.999999999999972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-110.52631578947285</v>
      </c>
      <c r="AF75" s="504">
        <f t="shared" si="50"/>
        <v>0.95394736842105299</v>
      </c>
      <c r="AG75" s="616"/>
    </row>
    <row r="76" spans="1:33" ht="15.75" customHeight="1">
      <c r="A76" s="614" t="s">
        <v>2588</v>
      </c>
      <c r="B76" s="510" t="s">
        <v>20</v>
      </c>
      <c r="C76" s="660" t="s">
        <v>2494</v>
      </c>
      <c r="D76" s="660"/>
      <c r="E76" s="27">
        <v>23.89</v>
      </c>
      <c r="F76" s="510">
        <v>4500</v>
      </c>
      <c r="G76" s="503">
        <f t="shared" si="51"/>
        <v>107505</v>
      </c>
      <c r="H76" s="31">
        <v>2</v>
      </c>
      <c r="I76" s="508">
        <v>13</v>
      </c>
      <c r="J76" s="29">
        <v>2400</v>
      </c>
      <c r="K76" s="12">
        <f t="shared" si="45"/>
        <v>184.61538461538461</v>
      </c>
      <c r="L76" s="508">
        <v>13</v>
      </c>
      <c r="M76" s="13">
        <f t="shared" si="52"/>
        <v>2288.1355932203396</v>
      </c>
      <c r="N76" s="12">
        <f t="shared" si="46"/>
        <v>176.01043024771843</v>
      </c>
      <c r="O76" s="14">
        <f t="shared" si="47"/>
        <v>0</v>
      </c>
      <c r="P76" s="15">
        <f t="shared" si="48"/>
        <v>-8.6049543676661813</v>
      </c>
      <c r="Q76" s="504">
        <f t="shared" si="49"/>
        <v>0.95338983050847481</v>
      </c>
      <c r="R76" s="616"/>
      <c r="S76" s="32">
        <v>0.41597222222222208</v>
      </c>
      <c r="T76" s="32">
        <v>0.49791666666666651</v>
      </c>
      <c r="U76" s="503">
        <f t="shared" si="54"/>
        <v>7.9999999999999716</v>
      </c>
      <c r="V76" s="509">
        <f t="shared" si="53"/>
        <v>117.99999999999999</v>
      </c>
      <c r="W76" s="16">
        <f>T76</f>
        <v>0.49791666666666651</v>
      </c>
      <c r="X76" s="16">
        <f>S77</f>
        <v>0.53749999999999987</v>
      </c>
      <c r="Y76" s="16"/>
      <c r="Z76" s="16"/>
      <c r="AA76" s="612"/>
      <c r="AB76" s="612"/>
      <c r="AC76" s="18"/>
      <c r="AD76" s="18"/>
      <c r="AE76" s="14">
        <f t="shared" si="43"/>
        <v>-111.86440677966038</v>
      </c>
      <c r="AF76" s="504">
        <f t="shared" si="50"/>
        <v>0.95338983050847481</v>
      </c>
      <c r="AG76" s="616"/>
    </row>
    <row r="77" spans="1:33" ht="15.75" customHeight="1">
      <c r="A77" s="614" t="s">
        <v>2588</v>
      </c>
      <c r="B77" s="510" t="s">
        <v>20</v>
      </c>
      <c r="C77" s="605" t="s">
        <v>39</v>
      </c>
      <c r="D77" s="606"/>
      <c r="E77" s="27">
        <v>19.02</v>
      </c>
      <c r="F77" s="510">
        <v>4038</v>
      </c>
      <c r="G77" s="503">
        <f t="shared" si="51"/>
        <v>76802.759999999995</v>
      </c>
      <c r="H77" s="31" t="s">
        <v>40</v>
      </c>
      <c r="I77" s="508">
        <v>14</v>
      </c>
      <c r="J77" s="29">
        <v>2400</v>
      </c>
      <c r="K77" s="12">
        <f t="shared" si="45"/>
        <v>171.42857142857142</v>
      </c>
      <c r="L77" s="508">
        <v>14</v>
      </c>
      <c r="M77" s="13">
        <f t="shared" si="52"/>
        <v>2285.6603773584916</v>
      </c>
      <c r="N77" s="12">
        <f t="shared" si="46"/>
        <v>163.26145552560655</v>
      </c>
      <c r="O77" s="14">
        <f t="shared" si="47"/>
        <v>0</v>
      </c>
      <c r="P77" s="15">
        <f t="shared" si="48"/>
        <v>-8.1671159029648663</v>
      </c>
      <c r="Q77" s="504">
        <f t="shared" si="49"/>
        <v>0.95235849056603827</v>
      </c>
      <c r="R77" s="616"/>
      <c r="S77" s="32">
        <v>0.53749999999999987</v>
      </c>
      <c r="T77" s="32">
        <v>0.61111111111111094</v>
      </c>
      <c r="U77" s="503">
        <f t="shared" si="54"/>
        <v>57.000000000000036</v>
      </c>
      <c r="V77" s="509">
        <f t="shared" si="53"/>
        <v>105.99999999999994</v>
      </c>
      <c r="W77" s="16"/>
      <c r="X77" s="16"/>
      <c r="Y77" s="19"/>
      <c r="Z77" s="19"/>
      <c r="AA77" s="607"/>
      <c r="AB77" s="608"/>
      <c r="AC77" s="18"/>
      <c r="AD77" s="18"/>
      <c r="AE77" s="14">
        <f t="shared" si="43"/>
        <v>-114.33962264150841</v>
      </c>
      <c r="AF77" s="504">
        <f t="shared" si="50"/>
        <v>0.95235849056603816</v>
      </c>
      <c r="AG77" s="616"/>
    </row>
    <row r="78" spans="1:33" ht="15.75" customHeight="1">
      <c r="A78" s="614" t="s">
        <v>2588</v>
      </c>
      <c r="B78" s="510" t="s">
        <v>20</v>
      </c>
      <c r="C78" s="605" t="s">
        <v>1420</v>
      </c>
      <c r="D78" s="606"/>
      <c r="E78" s="27">
        <v>24.25</v>
      </c>
      <c r="F78" s="510">
        <v>2175</v>
      </c>
      <c r="G78" s="503">
        <f t="shared" si="51"/>
        <v>52743.75</v>
      </c>
      <c r="H78" s="31" t="s">
        <v>40</v>
      </c>
      <c r="I78" s="508">
        <v>17</v>
      </c>
      <c r="J78" s="29">
        <v>2400</v>
      </c>
      <c r="K78" s="12">
        <f t="shared" si="45"/>
        <v>141.1764705882353</v>
      </c>
      <c r="L78" s="508">
        <v>17</v>
      </c>
      <c r="M78" s="13">
        <f t="shared" si="52"/>
        <v>2289.4736842105281</v>
      </c>
      <c r="N78" s="12">
        <f t="shared" si="46"/>
        <v>134.67492260061931</v>
      </c>
      <c r="O78" s="14">
        <f t="shared" si="47"/>
        <v>0</v>
      </c>
      <c r="P78" s="15">
        <f t="shared" si="48"/>
        <v>-6.501547987615993</v>
      </c>
      <c r="Q78" s="504">
        <f t="shared" si="49"/>
        <v>0.95394736842105343</v>
      </c>
      <c r="R78" s="616"/>
      <c r="S78" s="32">
        <v>0.61666666666666647</v>
      </c>
      <c r="T78" s="32">
        <v>0.65624999999999978</v>
      </c>
      <c r="U78" s="503">
        <f t="shared" si="54"/>
        <v>7.9999999999999716</v>
      </c>
      <c r="V78" s="509">
        <f t="shared" si="53"/>
        <v>56.999999999999957</v>
      </c>
      <c r="W78" s="16"/>
      <c r="X78" s="16"/>
      <c r="Y78" s="19"/>
      <c r="Z78" s="19"/>
      <c r="AA78" s="607"/>
      <c r="AB78" s="608"/>
      <c r="AC78" s="18"/>
      <c r="AD78" s="18"/>
      <c r="AE78" s="14">
        <f t="shared" si="43"/>
        <v>-110.52631578947194</v>
      </c>
      <c r="AF78" s="504">
        <f t="shared" si="50"/>
        <v>0.95394736842105332</v>
      </c>
      <c r="AG78" s="616"/>
    </row>
    <row r="79" spans="1:33" ht="15.75" customHeight="1">
      <c r="A79" s="614" t="s">
        <v>2588</v>
      </c>
      <c r="B79" s="510" t="s">
        <v>20</v>
      </c>
      <c r="C79" s="605" t="s">
        <v>2494</v>
      </c>
      <c r="D79" s="606"/>
      <c r="E79" s="27">
        <v>23.89</v>
      </c>
      <c r="F79" s="510">
        <v>3380</v>
      </c>
      <c r="G79" s="503">
        <f t="shared" si="51"/>
        <v>80748.2</v>
      </c>
      <c r="H79" s="31" t="s">
        <v>40</v>
      </c>
      <c r="I79" s="508">
        <v>13</v>
      </c>
      <c r="J79" s="29">
        <v>2400</v>
      </c>
      <c r="K79" s="12">
        <f t="shared" si="45"/>
        <v>184.61538461538461</v>
      </c>
      <c r="L79" s="508">
        <v>13</v>
      </c>
      <c r="M79" s="13">
        <f t="shared" si="52"/>
        <v>2304.5454545454545</v>
      </c>
      <c r="N79" s="12">
        <f t="shared" si="46"/>
        <v>177.27272727272728</v>
      </c>
      <c r="O79" s="14">
        <f t="shared" si="47"/>
        <v>0</v>
      </c>
      <c r="P79" s="15">
        <f t="shared" si="48"/>
        <v>-7.3426573426573327</v>
      </c>
      <c r="Q79" s="504">
        <f t="shared" si="49"/>
        <v>0.96022727272727282</v>
      </c>
      <c r="R79" s="616"/>
      <c r="S79" s="32">
        <v>0.66111111111111087</v>
      </c>
      <c r="T79" s="32">
        <v>0.72222222222222199</v>
      </c>
      <c r="U79" s="503">
        <f t="shared" si="54"/>
        <v>6.9999999999999751</v>
      </c>
      <c r="V79" s="509">
        <f t="shared" si="53"/>
        <v>88</v>
      </c>
      <c r="W79" s="16"/>
      <c r="X79" s="16"/>
      <c r="Y79" s="19"/>
      <c r="Z79" s="19"/>
      <c r="AA79" s="607"/>
      <c r="AB79" s="608"/>
      <c r="AC79" s="18"/>
      <c r="AD79" s="18"/>
      <c r="AE79" s="14">
        <f t="shared" si="43"/>
        <v>-95.454545454545496</v>
      </c>
      <c r="AF79" s="504">
        <f t="shared" si="50"/>
        <v>0.96022727272727271</v>
      </c>
      <c r="AG79" s="616"/>
    </row>
    <row r="80" spans="1:33" ht="16.5" customHeight="1">
      <c r="A80" s="615" t="s">
        <v>2588</v>
      </c>
      <c r="B80" s="27" t="s">
        <v>2579</v>
      </c>
      <c r="C80" s="609"/>
      <c r="D80" s="610"/>
      <c r="E80" s="505"/>
      <c r="F80" s="28"/>
      <c r="G80" s="12"/>
      <c r="H80" s="510"/>
      <c r="I80" s="21">
        <v>15.888888888888889</v>
      </c>
      <c r="J80" s="29">
        <v>2400</v>
      </c>
      <c r="K80" s="12">
        <f t="shared" si="45"/>
        <v>151.04895104895104</v>
      </c>
      <c r="L80" s="21">
        <v>15.888888888888889</v>
      </c>
      <c r="M80" s="13">
        <f>AVERAGE(M71:M79)</f>
        <v>2296.2343640539002</v>
      </c>
      <c r="N80" s="12">
        <f t="shared" si="46"/>
        <v>144.51824668870699</v>
      </c>
      <c r="O80" s="14">
        <f t="shared" si="47"/>
        <v>0</v>
      </c>
      <c r="P80" s="15">
        <f t="shared" si="48"/>
        <v>-6.5307043602440444</v>
      </c>
      <c r="Q80" s="504">
        <f t="shared" si="49"/>
        <v>0.95676431835579179</v>
      </c>
      <c r="R80" s="616"/>
      <c r="S80" s="32"/>
      <c r="T80" s="32"/>
      <c r="U80" s="12"/>
      <c r="V80" s="509"/>
      <c r="W80" s="12"/>
      <c r="X80" s="12"/>
      <c r="Y80" s="22">
        <f>SUM(Y71:Y79)</f>
        <v>0</v>
      </c>
      <c r="Z80" s="22">
        <f>SUM(Z71:Z79)</f>
        <v>0</v>
      </c>
      <c r="AA80" s="611"/>
      <c r="AB80" s="611"/>
      <c r="AC80" s="22">
        <v>9</v>
      </c>
      <c r="AD80" s="22">
        <f>SUM(AD71:AD79)</f>
        <v>0</v>
      </c>
      <c r="AE80" s="14">
        <f t="shared" si="43"/>
        <v>-103.76563594609979</v>
      </c>
      <c r="AF80" s="504">
        <f t="shared" si="50"/>
        <v>0.95676431835579179</v>
      </c>
      <c r="AG80" s="616"/>
    </row>
    <row r="81" spans="4:5">
      <c r="D81" s="23"/>
      <c r="E81" s="23"/>
    </row>
  </sheetData>
  <mergeCells count="204">
    <mergeCell ref="A71:A80"/>
    <mergeCell ref="C71:D71"/>
    <mergeCell ref="R71:R80"/>
    <mergeCell ref="AA71:AB71"/>
    <mergeCell ref="AG71:AG80"/>
    <mergeCell ref="C72:D72"/>
    <mergeCell ref="AA72:AB72"/>
    <mergeCell ref="C73:D73"/>
    <mergeCell ref="AA73:AB73"/>
    <mergeCell ref="C74:D74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A77:AB77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66:A70"/>
    <mergeCell ref="C66:D66"/>
    <mergeCell ref="R66:R70"/>
    <mergeCell ref="AA66:AB66"/>
    <mergeCell ref="AA59:AB59"/>
    <mergeCell ref="C60:D60"/>
    <mergeCell ref="AA60:AB60"/>
    <mergeCell ref="C61:D61"/>
    <mergeCell ref="AA61:AB61"/>
    <mergeCell ref="C62:D62"/>
    <mergeCell ref="AA62:AB62"/>
    <mergeCell ref="A55:A65"/>
    <mergeCell ref="C55:D55"/>
    <mergeCell ref="R55:R65"/>
    <mergeCell ref="AA55:AB55"/>
    <mergeCell ref="A50:A54"/>
    <mergeCell ref="C50:D50"/>
    <mergeCell ref="R50:R54"/>
    <mergeCell ref="AA50:AB50"/>
    <mergeCell ref="AG55:AG65"/>
    <mergeCell ref="C56:D56"/>
    <mergeCell ref="AA56:AB56"/>
    <mergeCell ref="C57:D57"/>
    <mergeCell ref="AA57:AB57"/>
    <mergeCell ref="AA58:AB58"/>
    <mergeCell ref="AG50:AG54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64:D64"/>
    <mergeCell ref="AA64:AB64"/>
    <mergeCell ref="C65:D65"/>
    <mergeCell ref="AA65:AB65"/>
    <mergeCell ref="A40:A49"/>
    <mergeCell ref="C40:D40"/>
    <mergeCell ref="R40:R49"/>
    <mergeCell ref="AA40:AB40"/>
    <mergeCell ref="AA45:AB45"/>
    <mergeCell ref="C46:D46"/>
    <mergeCell ref="AA46:AB46"/>
    <mergeCell ref="AG40:AG49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C47:D47"/>
    <mergeCell ref="AA47:AB47"/>
    <mergeCell ref="C48:D48"/>
    <mergeCell ref="C49:D49"/>
    <mergeCell ref="AA49:AB49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6 O65:O66 O80 O5:O9 O14:O16 O22:O60">
    <cfRule type="cellIs" dxfId="2045" priority="75" operator="greaterThan">
      <formula>0</formula>
    </cfRule>
  </conditionalFormatting>
  <conditionalFormatting sqref="P5:P7 P69 AE69 P71:P76 P31:P38 P66 P9 P14:P16 P23:P29 P55:P60 P40:P53 AE5:AE66 AE71:AE80">
    <cfRule type="cellIs" dxfId="2044" priority="79" operator="lessThan">
      <formula>0</formula>
    </cfRule>
  </conditionalFormatting>
  <conditionalFormatting sqref="AF69 Q69:Q76 Q65:Q66 Q80 Q5:Q9 Q14:Q16 Q22:Q60 AF5:AF66 AF71:AF80">
    <cfRule type="cellIs" dxfId="2043" priority="76" operator="greaterThan">
      <formula>1</formula>
    </cfRule>
    <cfRule type="cellIs" dxfId="2042" priority="77" operator="lessThan">
      <formula>0.8</formula>
    </cfRule>
  </conditionalFormatting>
  <conditionalFormatting sqref="AG15:AG16 R15:R16 AG69 R69:R76 R22:R28 AG22:AG28 R30:R47 AG30:AG47 AG65:AG66 R65:R66 R80 AG5:AG9 R5:R9 AG49:AG60 R49:R60">
    <cfRule type="cellIs" dxfId="2041" priority="81" operator="lessThan">
      <formula>0.8</formula>
    </cfRule>
  </conditionalFormatting>
  <conditionalFormatting sqref="AG50">
    <cfRule type="cellIs" dxfId="2040" priority="83" operator="lessThan">
      <formula>0.8</formula>
    </cfRule>
  </conditionalFormatting>
  <conditionalFormatting sqref="AG23:AG28">
    <cfRule type="cellIs" dxfId="2039" priority="80" operator="lessThan">
      <formula>0.8</formula>
    </cfRule>
  </conditionalFormatting>
  <conditionalFormatting sqref="AG31">
    <cfRule type="cellIs" dxfId="2038" priority="82" operator="lessThan">
      <formula>0.8</formula>
    </cfRule>
  </conditionalFormatting>
  <conditionalFormatting sqref="AG40:AG47">
    <cfRule type="cellIs" dxfId="2037" priority="78" operator="lessThan">
      <formula>0.8</formula>
    </cfRule>
  </conditionalFormatting>
  <conditionalFormatting sqref="AE70">
    <cfRule type="cellIs" dxfId="2036" priority="74" operator="lessThan">
      <formula>0</formula>
    </cfRule>
  </conditionalFormatting>
  <conditionalFormatting sqref="AF70">
    <cfRule type="cellIs" dxfId="2035" priority="72" operator="greaterThan">
      <formula>1</formula>
    </cfRule>
    <cfRule type="cellIs" dxfId="2034" priority="73" operator="lessThan">
      <formula>0.8</formula>
    </cfRule>
  </conditionalFormatting>
  <conditionalFormatting sqref="O17:O18">
    <cfRule type="cellIs" dxfId="2033" priority="67" operator="greaterThan">
      <formula>0</formula>
    </cfRule>
  </conditionalFormatting>
  <conditionalFormatting sqref="P17:P18">
    <cfRule type="cellIs" dxfId="2032" priority="70" operator="lessThan">
      <formula>0</formula>
    </cfRule>
  </conditionalFormatting>
  <conditionalFormatting sqref="Q17:Q18">
    <cfRule type="cellIs" dxfId="2031" priority="68" operator="greaterThan">
      <formula>1</formula>
    </cfRule>
    <cfRule type="cellIs" dxfId="2030" priority="69" operator="lessThan">
      <formula>0.8</formula>
    </cfRule>
  </conditionalFormatting>
  <conditionalFormatting sqref="R17:R18 AG17:AG18">
    <cfRule type="cellIs" dxfId="2029" priority="71" operator="lessThan">
      <formula>0.8</formula>
    </cfRule>
  </conditionalFormatting>
  <conditionalFormatting sqref="O10:O13">
    <cfRule type="cellIs" dxfId="2028" priority="63" operator="greaterThan">
      <formula>0</formula>
    </cfRule>
  </conditionalFormatting>
  <conditionalFormatting sqref="P10:P13">
    <cfRule type="cellIs" dxfId="2027" priority="66" operator="lessThan">
      <formula>0</formula>
    </cfRule>
  </conditionalFormatting>
  <conditionalFormatting sqref="Q10:Q13">
    <cfRule type="cellIs" dxfId="2026" priority="64" operator="greaterThan">
      <formula>1</formula>
    </cfRule>
    <cfRule type="cellIs" dxfId="2025" priority="65" operator="lessThan">
      <formula>0.8</formula>
    </cfRule>
  </conditionalFormatting>
  <conditionalFormatting sqref="O61">
    <cfRule type="cellIs" dxfId="2024" priority="58" operator="greaterThan">
      <formula>0</formula>
    </cfRule>
  </conditionalFormatting>
  <conditionalFormatting sqref="P61">
    <cfRule type="cellIs" dxfId="2023" priority="61" operator="lessThan">
      <formula>0</formula>
    </cfRule>
  </conditionalFormatting>
  <conditionalFormatting sqref="Q61">
    <cfRule type="cellIs" dxfId="2022" priority="59" operator="greaterThan">
      <formula>1</formula>
    </cfRule>
    <cfRule type="cellIs" dxfId="2021" priority="60" operator="lessThan">
      <formula>0.8</formula>
    </cfRule>
  </conditionalFormatting>
  <conditionalFormatting sqref="R61 AG61">
    <cfRule type="cellIs" dxfId="2020" priority="62" operator="lessThan">
      <formula>0.8</formula>
    </cfRule>
  </conditionalFormatting>
  <conditionalFormatting sqref="R48 AG48">
    <cfRule type="cellIs" dxfId="2019" priority="57" operator="lessThan">
      <formula>0.8</formula>
    </cfRule>
  </conditionalFormatting>
  <conditionalFormatting sqref="AG48">
    <cfRule type="cellIs" dxfId="2018" priority="56" operator="lessThan">
      <formula>0.8</formula>
    </cfRule>
  </conditionalFormatting>
  <conditionalFormatting sqref="O68">
    <cfRule type="cellIs" dxfId="2017" priority="51" operator="greaterThan">
      <formula>0</formula>
    </cfRule>
  </conditionalFormatting>
  <conditionalFormatting sqref="P68 AE68">
    <cfRule type="cellIs" dxfId="2016" priority="54" operator="lessThan">
      <formula>0</formula>
    </cfRule>
  </conditionalFormatting>
  <conditionalFormatting sqref="Q68 AF68">
    <cfRule type="cellIs" dxfId="2015" priority="52" operator="greaterThan">
      <formula>1</formula>
    </cfRule>
    <cfRule type="cellIs" dxfId="2014" priority="53" operator="lessThan">
      <formula>0.8</formula>
    </cfRule>
  </conditionalFormatting>
  <conditionalFormatting sqref="R68 AG68">
    <cfRule type="cellIs" dxfId="2013" priority="55" operator="lessThan">
      <formula>0.8</formula>
    </cfRule>
  </conditionalFormatting>
  <conditionalFormatting sqref="O77">
    <cfRule type="cellIs" dxfId="2012" priority="46" operator="greaterThan">
      <formula>0</formula>
    </cfRule>
  </conditionalFormatting>
  <conditionalFormatting sqref="P77">
    <cfRule type="cellIs" dxfId="2011" priority="49" operator="lessThan">
      <formula>0</formula>
    </cfRule>
  </conditionalFormatting>
  <conditionalFormatting sqref="Q77">
    <cfRule type="cellIs" dxfId="2010" priority="47" operator="greaterThan">
      <formula>1</formula>
    </cfRule>
    <cfRule type="cellIs" dxfId="2009" priority="48" operator="lessThan">
      <formula>0.8</formula>
    </cfRule>
  </conditionalFormatting>
  <conditionalFormatting sqref="R77">
    <cfRule type="cellIs" dxfId="2008" priority="50" operator="lessThan">
      <formula>0.8</formula>
    </cfRule>
  </conditionalFormatting>
  <conditionalFormatting sqref="O19:O20">
    <cfRule type="cellIs" dxfId="2007" priority="41" operator="greaterThan">
      <formula>0</formula>
    </cfRule>
  </conditionalFormatting>
  <conditionalFormatting sqref="P19:P20">
    <cfRule type="cellIs" dxfId="2006" priority="44" operator="lessThan">
      <formula>0</formula>
    </cfRule>
  </conditionalFormatting>
  <conditionalFormatting sqref="Q19:Q20">
    <cfRule type="cellIs" dxfId="2005" priority="42" operator="greaterThan">
      <formula>1</formula>
    </cfRule>
    <cfRule type="cellIs" dxfId="2004" priority="43" operator="lessThan">
      <formula>0.8</formula>
    </cfRule>
  </conditionalFormatting>
  <conditionalFormatting sqref="R19:R20 AG19:AG20">
    <cfRule type="cellIs" dxfId="2003" priority="45" operator="lessThan">
      <formula>0.8</formula>
    </cfRule>
  </conditionalFormatting>
  <conditionalFormatting sqref="O62">
    <cfRule type="cellIs" dxfId="2002" priority="36" operator="greaterThan">
      <formula>0</formula>
    </cfRule>
  </conditionalFormatting>
  <conditionalFormatting sqref="P62">
    <cfRule type="cellIs" dxfId="2001" priority="39" operator="lessThan">
      <formula>0</formula>
    </cfRule>
  </conditionalFormatting>
  <conditionalFormatting sqref="Q62">
    <cfRule type="cellIs" dxfId="2000" priority="37" operator="greaterThan">
      <formula>1</formula>
    </cfRule>
    <cfRule type="cellIs" dxfId="1999" priority="38" operator="lessThan">
      <formula>0.8</formula>
    </cfRule>
  </conditionalFormatting>
  <conditionalFormatting sqref="AG62 R62">
    <cfRule type="cellIs" dxfId="1998" priority="40" operator="lessThan">
      <formula>0.8</formula>
    </cfRule>
  </conditionalFormatting>
  <conditionalFormatting sqref="R29 AG29">
    <cfRule type="cellIs" dxfId="1997" priority="35" operator="lessThan">
      <formula>0.8</formula>
    </cfRule>
  </conditionalFormatting>
  <conditionalFormatting sqref="AG29">
    <cfRule type="cellIs" dxfId="1996" priority="34" operator="lessThan">
      <formula>0.8</formula>
    </cfRule>
  </conditionalFormatting>
  <conditionalFormatting sqref="O67">
    <cfRule type="cellIs" dxfId="1995" priority="29" operator="greaterThan">
      <formula>0</formula>
    </cfRule>
  </conditionalFormatting>
  <conditionalFormatting sqref="P67 AE67">
    <cfRule type="cellIs" dxfId="1994" priority="32" operator="lessThan">
      <formula>0</formula>
    </cfRule>
  </conditionalFormatting>
  <conditionalFormatting sqref="Q67 AF67">
    <cfRule type="cellIs" dxfId="1993" priority="30" operator="greaterThan">
      <formula>1</formula>
    </cfRule>
    <cfRule type="cellIs" dxfId="1992" priority="31" operator="lessThan">
      <formula>0.8</formula>
    </cfRule>
  </conditionalFormatting>
  <conditionalFormatting sqref="R67 AG67">
    <cfRule type="cellIs" dxfId="1991" priority="33" operator="lessThan">
      <formula>0.8</formula>
    </cfRule>
  </conditionalFormatting>
  <conditionalFormatting sqref="O21">
    <cfRule type="cellIs" dxfId="1990" priority="24" operator="greaterThan">
      <formula>0</formula>
    </cfRule>
  </conditionalFormatting>
  <conditionalFormatting sqref="P21">
    <cfRule type="cellIs" dxfId="1989" priority="27" operator="lessThan">
      <formula>0</formula>
    </cfRule>
  </conditionalFormatting>
  <conditionalFormatting sqref="Q21">
    <cfRule type="cellIs" dxfId="1988" priority="25" operator="greaterThan">
      <formula>1</formula>
    </cfRule>
    <cfRule type="cellIs" dxfId="1987" priority="26" operator="lessThan">
      <formula>0.8</formula>
    </cfRule>
  </conditionalFormatting>
  <conditionalFormatting sqref="AG21 R21">
    <cfRule type="cellIs" dxfId="1986" priority="28" operator="lessThan">
      <formula>0.8</formula>
    </cfRule>
  </conditionalFormatting>
  <conditionalFormatting sqref="P8">
    <cfRule type="cellIs" dxfId="1985" priority="23" operator="lessThan">
      <formula>0</formula>
    </cfRule>
  </conditionalFormatting>
  <conditionalFormatting sqref="P22">
    <cfRule type="cellIs" dxfId="1984" priority="22" operator="lessThan">
      <formula>0</formula>
    </cfRule>
  </conditionalFormatting>
  <conditionalFormatting sqref="P30">
    <cfRule type="cellIs" dxfId="1983" priority="21" operator="lessThan">
      <formula>0</formula>
    </cfRule>
  </conditionalFormatting>
  <conditionalFormatting sqref="P39">
    <cfRule type="cellIs" dxfId="1982" priority="20" operator="lessThan">
      <formula>0</formula>
    </cfRule>
  </conditionalFormatting>
  <conditionalFormatting sqref="P54">
    <cfRule type="cellIs" dxfId="1981" priority="19" operator="lessThan">
      <formula>0</formula>
    </cfRule>
  </conditionalFormatting>
  <conditionalFormatting sqref="P65">
    <cfRule type="cellIs" dxfId="1980" priority="18" operator="lessThan">
      <formula>0</formula>
    </cfRule>
  </conditionalFormatting>
  <conditionalFormatting sqref="P70">
    <cfRule type="cellIs" dxfId="1979" priority="17" operator="lessThan">
      <formula>0</formula>
    </cfRule>
  </conditionalFormatting>
  <conditionalFormatting sqref="P80">
    <cfRule type="cellIs" dxfId="1978" priority="16" operator="lessThan">
      <formula>0</formula>
    </cfRule>
  </conditionalFormatting>
  <conditionalFormatting sqref="O78">
    <cfRule type="cellIs" dxfId="1977" priority="11" operator="greaterThan">
      <formula>0</formula>
    </cfRule>
  </conditionalFormatting>
  <conditionalFormatting sqref="P78">
    <cfRule type="cellIs" dxfId="1976" priority="14" operator="lessThan">
      <formula>0</formula>
    </cfRule>
  </conditionalFormatting>
  <conditionalFormatting sqref="Q78">
    <cfRule type="cellIs" dxfId="1975" priority="12" operator="greaterThan">
      <formula>1</formula>
    </cfRule>
    <cfRule type="cellIs" dxfId="1974" priority="13" operator="lessThan">
      <formula>0.8</formula>
    </cfRule>
  </conditionalFormatting>
  <conditionalFormatting sqref="R78">
    <cfRule type="cellIs" dxfId="1973" priority="15" operator="lessThan">
      <formula>0.8</formula>
    </cfRule>
  </conditionalFormatting>
  <conditionalFormatting sqref="O79">
    <cfRule type="cellIs" dxfId="1972" priority="6" operator="greaterThan">
      <formula>0</formula>
    </cfRule>
  </conditionalFormatting>
  <conditionalFormatting sqref="P79">
    <cfRule type="cellIs" dxfId="1971" priority="9" operator="lessThan">
      <formula>0</formula>
    </cfRule>
  </conditionalFormatting>
  <conditionalFormatting sqref="Q79">
    <cfRule type="cellIs" dxfId="1970" priority="7" operator="greaterThan">
      <formula>1</formula>
    </cfRule>
    <cfRule type="cellIs" dxfId="1969" priority="8" operator="lessThan">
      <formula>0.8</formula>
    </cfRule>
  </conditionalFormatting>
  <conditionalFormatting sqref="R79">
    <cfRule type="cellIs" dxfId="1968" priority="10" operator="lessThan">
      <formula>0.8</formula>
    </cfRule>
  </conditionalFormatting>
  <conditionalFormatting sqref="O63:O64">
    <cfRule type="cellIs" dxfId="1967" priority="1" operator="greaterThan">
      <formula>0</formula>
    </cfRule>
  </conditionalFormatting>
  <conditionalFormatting sqref="P63:P64">
    <cfRule type="cellIs" dxfId="1966" priority="4" operator="lessThan">
      <formula>0</formula>
    </cfRule>
  </conditionalFormatting>
  <conditionalFormatting sqref="Q63:Q64">
    <cfRule type="cellIs" dxfId="1965" priority="2" operator="greaterThan">
      <formula>1</formula>
    </cfRule>
    <cfRule type="cellIs" dxfId="1964" priority="3" operator="lessThan">
      <formula>0.8</formula>
    </cfRule>
  </conditionalFormatting>
  <conditionalFormatting sqref="AG63:AG64 R63:R64">
    <cfRule type="cellIs" dxfId="1963" priority="5" operator="lessThan">
      <formula>0.8</formula>
    </cfRule>
  </conditionalFormatting>
  <dataValidations count="1">
    <dataValidation type="list" allowBlank="1" showInputMessage="1" showErrorMessage="1" sqref="AB8 AA5:AB7 AA8:AA69 AB10:AB66 AA70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2449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2450</v>
      </c>
      <c r="C3" s="594" t="str">
        <f>TEXT('0728 4度C'!A2,"yyyy.mm.ddaaaa")</f>
        <v>2026.07.28星期二</v>
      </c>
      <c r="D3" s="595"/>
      <c r="E3" s="36" t="s">
        <v>192</v>
      </c>
      <c r="F3" s="596">
        <f>'0728 4度C'!D1</f>
        <v>208783</v>
      </c>
      <c r="G3" s="597"/>
      <c r="H3" s="36" t="s">
        <v>2451</v>
      </c>
      <c r="I3" s="598">
        <f>'0728 4度C'!F1</f>
        <v>7261248.1600000001</v>
      </c>
      <c r="J3" s="599"/>
      <c r="K3" s="37"/>
      <c r="L3" s="38"/>
      <c r="M3" s="39"/>
      <c r="N3" s="39"/>
    </row>
    <row r="4" spans="2:17" ht="28.5" customHeight="1">
      <c r="B4" s="600" t="s">
        <v>2452</v>
      </c>
      <c r="C4" s="586" t="s">
        <v>2453</v>
      </c>
      <c r="D4" s="587"/>
      <c r="E4" s="603" t="s">
        <v>2454</v>
      </c>
      <c r="F4" s="604"/>
      <c r="G4" s="603" t="s">
        <v>91</v>
      </c>
      <c r="H4" s="604"/>
      <c r="I4" s="603" t="s">
        <v>2455</v>
      </c>
      <c r="J4" s="604"/>
      <c r="K4" s="584" t="s">
        <v>2456</v>
      </c>
      <c r="L4" s="585"/>
      <c r="M4" s="585" t="s">
        <v>297</v>
      </c>
      <c r="N4" s="585"/>
    </row>
    <row r="5" spans="2:17" ht="28.5" customHeight="1">
      <c r="B5" s="601"/>
      <c r="C5" s="586" t="s">
        <v>2457</v>
      </c>
      <c r="D5" s="587"/>
      <c r="E5" s="586" t="s">
        <v>2458</v>
      </c>
      <c r="F5" s="587"/>
      <c r="G5" s="588" t="s">
        <v>203</v>
      </c>
      <c r="H5" s="589"/>
      <c r="I5" s="590" t="s">
        <v>2459</v>
      </c>
      <c r="J5" s="591"/>
      <c r="K5" s="40" t="s">
        <v>2460</v>
      </c>
      <c r="L5" s="41" t="s">
        <v>2461</v>
      </c>
      <c r="M5" s="40" t="s">
        <v>2460</v>
      </c>
      <c r="N5" s="41" t="s">
        <v>101</v>
      </c>
    </row>
    <row r="6" spans="2:17" ht="28.5" customHeight="1">
      <c r="B6" s="601"/>
      <c r="C6" s="586" t="s">
        <v>41</v>
      </c>
      <c r="D6" s="587"/>
      <c r="E6" s="578">
        <f>AVERAGE(D13:M13)</f>
        <v>157.47474864800284</v>
      </c>
      <c r="F6" s="579">
        <f>AVERAGE(D31:O31,D13:J13)</f>
        <v>165.42030314522458</v>
      </c>
      <c r="G6" s="580">
        <f>AVERAGE(D13:J13)</f>
        <v>165.42030314522458</v>
      </c>
      <c r="H6" s="581"/>
      <c r="I6" s="580">
        <f>AVERAGE(K13:M13)</f>
        <v>138.9351214878188</v>
      </c>
      <c r="J6" s="581"/>
      <c r="K6" s="582">
        <f>'0728 4度C'!Y2</f>
        <v>0</v>
      </c>
      <c r="L6" s="567">
        <f>'0728 4度C'!Z2</f>
        <v>0</v>
      </c>
      <c r="M6" s="583">
        <f>'0728 4度C'!AC2</f>
        <v>71</v>
      </c>
      <c r="N6" s="567">
        <f>'0728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151.00026103433913</v>
      </c>
      <c r="F7" s="571">
        <f>AVERAGE(D32:O32,D14:J14)</f>
        <v>158.70111388467348</v>
      </c>
      <c r="G7" s="572">
        <f>AVERAGE(D14:J14)</f>
        <v>158.70111388467348</v>
      </c>
      <c r="H7" s="573"/>
      <c r="I7" s="572">
        <f>AVERAGE(K14:M14)</f>
        <v>133.03160438355906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0.95867846219986175</v>
      </c>
      <c r="F8" s="575">
        <f>AVERAGE(D15:J15,D33:O33)</f>
        <v>0.95916888068862305</v>
      </c>
      <c r="G8" s="576">
        <f>AVERAGE(D15:J15)</f>
        <v>0.95916888068862305</v>
      </c>
      <c r="H8" s="577"/>
      <c r="I8" s="576">
        <f>AVERAGE(K15:M15)</f>
        <v>0.95753415239275208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209</v>
      </c>
      <c r="N9" s="39"/>
      <c r="O9" s="39"/>
      <c r="P9" s="39"/>
      <c r="Q9" s="39"/>
    </row>
    <row r="10" spans="2:17" ht="30" customHeight="1">
      <c r="B10" s="550" t="s">
        <v>306</v>
      </c>
      <c r="C10" s="551"/>
      <c r="D10" s="552" t="s">
        <v>104</v>
      </c>
      <c r="E10" s="553"/>
      <c r="F10" s="553"/>
      <c r="G10" s="553"/>
      <c r="H10" s="553"/>
      <c r="I10" s="553"/>
      <c r="J10" s="554"/>
      <c r="K10" s="555" t="s">
        <v>2462</v>
      </c>
      <c r="L10" s="556"/>
      <c r="M10" s="557"/>
      <c r="P10" s="45"/>
      <c r="Q10" s="45"/>
    </row>
    <row r="11" spans="2:17" ht="17.25" customHeight="1">
      <c r="B11" s="558" t="s">
        <v>2463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2464</v>
      </c>
      <c r="C13" s="52" t="s">
        <v>108</v>
      </c>
      <c r="D13" s="53">
        <f>SUMIFS('0728 4度C'!$K:$K,'0728 4度C'!$A:$A,"新豐6線",'0728 4度C'!$B:$B,"平均")</f>
        <v>129.03225806451613</v>
      </c>
      <c r="E13" s="54">
        <f>SUMIFS('0728 4度C'!$K:$K,'0728 4度C'!$A:$A,"新豐2線",'0728 4度C'!$B:$B,"平均")</f>
        <v>86.206896551724142</v>
      </c>
      <c r="F13" s="55">
        <f>SUMIFS('0728 4度C'!$K:$K,'0728 4度C'!$A:$A,"新豐5線",'0728 4度C'!$B:$B,"平均")</f>
        <v>90.604026845637577</v>
      </c>
      <c r="G13" s="55">
        <f>SUMIFS('0728 4度C'!$K:$K,'0728 4度C'!$A:$A,"新豐7線",'0728 4度C'!$B:$B,"平均")</f>
        <v>127.27272727272728</v>
      </c>
      <c r="H13" s="55">
        <f>SUMIFS('0728 4度C'!$K:$K,'0728 4度C'!$A:$A,"新豐3線",'0728 4度C'!$B:$B,"平均")</f>
        <v>319.14893617021278</v>
      </c>
      <c r="I13" s="55">
        <f>SUMIFS('0728 4度C'!$K:$K,'0728 4度C'!$A:$A,"新豐1線",'0728 4度C'!$B:$B,"平均")</f>
        <v>112.99435028248588</v>
      </c>
      <c r="J13" s="56">
        <f>SUMIFS('0728 4度C'!$K:$K,'0728 4度C'!$A:$A,"新豐10線",'0728 4度C'!$B:$B,"平均")</f>
        <v>292.6829268292683</v>
      </c>
      <c r="K13" s="57">
        <f>SUMIFS('0728 4度C'!$K:$K,'0728 4度C'!$A:$A,"新豐8線",'0728 4度C'!$B:$B,"平均")</f>
        <v>137.57961783439492</v>
      </c>
      <c r="L13" s="58">
        <f>SUMIFS('0728 4度C'!$K:$K,'0728 4度C'!$A:$A,"新豐9線",'0728 4度C'!$B:$B,"平均")</f>
        <v>128.17679558011048</v>
      </c>
      <c r="M13" s="56">
        <f>SUMIFS('0728 4度C'!$K:$K,'0728 4度C'!$A:$A,"新豐4線",'0728 4度C'!$B:$B,"平均")</f>
        <v>151.04895104895104</v>
      </c>
    </row>
    <row r="14" spans="2:17" ht="39.6" customHeight="1">
      <c r="B14" s="563"/>
      <c r="C14" s="59" t="s">
        <v>2465</v>
      </c>
      <c r="D14" s="60">
        <f>SUMIFS('0728 4度C'!$N:$N,'0728 4度C'!$A:$A,"新豐6線",'0728 4度C'!$B:$B,"平均")</f>
        <v>124.02570096788443</v>
      </c>
      <c r="E14" s="61">
        <f>SUMIFS('0728 4度C'!$N:$N,'0728 4度C'!$A:$A,"新豐2線",'0728 4度C'!$B:$B,"平均")</f>
        <v>82.334510796719471</v>
      </c>
      <c r="F14" s="61">
        <f>SUMIFS('0728 4度C'!$N:$N,'0728 4度C'!$A:$A,"新豐5線",'0728 4度C'!$B:$B,"平均")</f>
        <v>86.605482036831688</v>
      </c>
      <c r="G14" s="61">
        <f>SUMIFS('0728 4度C'!$N:$N,'0728 4度C'!$A:$A,"新豐7線",'0728 4度C'!$B:$B,"平均")</f>
        <v>122.40844798731345</v>
      </c>
      <c r="H14" s="61">
        <f>SUMIFS('0728 4度C'!$N:$N,'0728 4度C'!$A:$A,"新豐3線",'0728 4度C'!$B:$B,"平均")</f>
        <v>306.81369972574475</v>
      </c>
      <c r="I14" s="61">
        <f>SUMIFS('0728 4度C'!$N:$N,'0728 4度C'!$A:$A,"新豐1線",'0728 4度C'!$B:$B,"平均")</f>
        <v>108.73214240999488</v>
      </c>
      <c r="J14" s="62">
        <f>SUMIFS('0728 4度C'!$N:$N,'0728 4度C'!$A:$A,"新豐10線",'0728 4度C'!$B:$B,"平均")</f>
        <v>279.98781326822558</v>
      </c>
      <c r="K14" s="63">
        <f>SUMIFS('0728 4度C'!$N:$N,'0728 4度C'!$A:$A,"新豐8線",'0728 4度C'!$B:$B,"平均")</f>
        <v>131.691014508889</v>
      </c>
      <c r="L14" s="64">
        <f>SUMIFS('0728 4度C'!$N:$N,'0728 4度C'!$A:$A,"新豐9線",'0728 4度C'!$B:$B,"平均")</f>
        <v>122.81815831080098</v>
      </c>
      <c r="M14" s="62">
        <f>SUMIFS('0728 4度C'!$N:$N,'0728 4度C'!$A:$A,"新豐4線",'0728 4度C'!$B:$B,"平均")</f>
        <v>144.58564033098716</v>
      </c>
    </row>
    <row r="15" spans="2:17" ht="40.15" customHeight="1">
      <c r="B15" s="564"/>
      <c r="C15" s="65" t="s">
        <v>2466</v>
      </c>
      <c r="D15" s="66">
        <f t="shared" ref="D15:M15" si="0">D14/D13</f>
        <v>0.96119918250110437</v>
      </c>
      <c r="E15" s="67">
        <f t="shared" si="0"/>
        <v>0.95508032524194586</v>
      </c>
      <c r="F15" s="67">
        <f t="shared" si="0"/>
        <v>0.95586791285095718</v>
      </c>
      <c r="G15" s="67">
        <f t="shared" si="0"/>
        <v>0.96178066275746277</v>
      </c>
      <c r="H15" s="67">
        <f t="shared" si="0"/>
        <v>0.9613495924740002</v>
      </c>
      <c r="I15" s="67">
        <f t="shared" si="0"/>
        <v>0.96227946032845457</v>
      </c>
      <c r="J15" s="68">
        <f t="shared" si="0"/>
        <v>0.95662502866643739</v>
      </c>
      <c r="K15" s="66">
        <f t="shared" si="0"/>
        <v>0.95719857768035044</v>
      </c>
      <c r="L15" s="67">
        <f t="shared" si="0"/>
        <v>0.95819339026961126</v>
      </c>
      <c r="M15" s="68">
        <f t="shared" si="0"/>
        <v>0.95721048922829466</v>
      </c>
    </row>
    <row r="16" spans="2:17" ht="17.25" customHeight="1">
      <c r="B16" s="565" t="s">
        <v>111</v>
      </c>
      <c r="C16" s="69" t="s">
        <v>112</v>
      </c>
      <c r="D16" s="70">
        <f>VLOOKUP("新豐6線",'0728 4度C'!$A:$T,19,0)</f>
        <v>0.70833333333333337</v>
      </c>
      <c r="E16" s="71">
        <f>VLOOKUP("新豐2線",'0728 4度C'!$A:$T,19,0)</f>
        <v>8.3333333333333329E-2</v>
      </c>
      <c r="F16" s="71">
        <f>VLOOKUP("新豐5線",'0728 4度C'!$A:$T,19,0)</f>
        <v>8.3333333333333329E-2</v>
      </c>
      <c r="G16" s="71">
        <f>VLOOKUP("新豐7線",'0728 4度C'!$A:$T,19,0)</f>
        <v>0.20833333333333334</v>
      </c>
      <c r="H16" s="71">
        <f>VLOOKUP("新豐3線",'0728 4度C'!$A:$T,19,0)</f>
        <v>0.20833333333333334</v>
      </c>
      <c r="I16" s="71">
        <f>VLOOKUP("新豐1線",'0728 4度C'!$A:$T,19,0)</f>
        <v>8.3333333333333329E-2</v>
      </c>
      <c r="J16" s="72">
        <f>VLOOKUP("新豐10線",'0728 4度C'!$A:$T,19,0)</f>
        <v>0.20833333333333334</v>
      </c>
      <c r="K16" s="73">
        <f>VLOOKUP("新豐8線",'0728 4度C'!$A:$T,19,0)</f>
        <v>8.3333333333333329E-2</v>
      </c>
      <c r="L16" s="74">
        <f>VLOOKUP("新豐9線",'0728 4度C'!$A:$T,19,0)</f>
        <v>8.3333333333333329E-2</v>
      </c>
      <c r="M16" s="75">
        <f>VLOOKUP("新豐4線",'0728 4度C'!$A:$T,19,0)</f>
        <v>8.3333333333333329E-2</v>
      </c>
    </row>
    <row r="17" spans="2:13" ht="17.25" customHeight="1">
      <c r="B17" s="566"/>
      <c r="C17" s="69" t="s">
        <v>2467</v>
      </c>
      <c r="D17" s="73">
        <f>LOOKUP(2,1/(('0728 4度C'!$A:$A="新豐6線")*('0728 4度C'!$T:$T&lt;&gt;"")),'0728 4度C'!$T:$T)</f>
        <v>0.89861111111111114</v>
      </c>
      <c r="E17" s="71">
        <f>LOOKUP(2,1/(('0728 4度C'!$A:$A="新豐2線")*('0728 4度C'!$T:$T&lt;&gt;"")),'0728 4度C'!$T:$T)</f>
        <v>0.64027777777777772</v>
      </c>
      <c r="F17" s="71">
        <f>LOOKUP(2,1/(('0728 4度C'!$A:$A="新豐5線")*('0728 4度C'!$T:$T&lt;&gt;"")),'0728 4度C'!$T:$T)</f>
        <v>0.89236111111111105</v>
      </c>
      <c r="G17" s="71">
        <f>LOOKUP(2,1/(('0728 4度C'!$A:$A="新豐7線")*('0728 4度C'!$T:$T&lt;&gt;"")),'0728 4度C'!$T:$T)</f>
        <v>0.90833333333333333</v>
      </c>
      <c r="H17" s="71">
        <f>LOOKUP(2,1/(('0728 4度C'!$A:$A="新豐3線")*('0728 4度C'!$T:$T&lt;&gt;"")),'0728 4度C'!$T:$T)</f>
        <v>0.46875</v>
      </c>
      <c r="I17" s="71">
        <f>LOOKUP(2,1/(('0728 4度C'!$A:$A="新豐1線")*('0728 4度C'!$T:$T&lt;&gt;"")),'0728 4度C'!$T:$T)</f>
        <v>0.90416666666666667</v>
      </c>
      <c r="J17" s="72">
        <f>LOOKUP(2,1/(('0728 4度C'!$A:$A="新豐10線")*('0728 4度C'!$T:$T&lt;&gt;"")),'0728 4度C'!$T:$T)</f>
        <v>0.49166666666666659</v>
      </c>
      <c r="K17" s="70">
        <f>LOOKUP(2,1/(('0728 4度C'!$A:$A="新豐8線")*('0728 4度C'!$T:$T&lt;&gt;"")),'0728 4度C'!$T:$T)</f>
        <v>0.75486111111111098</v>
      </c>
      <c r="L17" s="71">
        <f>LOOKUP(2,1/(('0728 4度C'!$A:$A="新豐9線")*('0728 4度C'!$T:$T&lt;&gt;"")),'0728 4度C'!$T:$T)</f>
        <v>0.77986111111111101</v>
      </c>
      <c r="M17" s="72">
        <f>LOOKUP(2,1/(('0728 4度C'!$A:$A="新豐4線")*('0728 4度C'!$T:$T&lt;&gt;"")),'0728 4度C'!$T:$T)</f>
        <v>0.75833333333333308</v>
      </c>
    </row>
    <row r="18" spans="2:13" ht="17.25" customHeight="1">
      <c r="B18" s="544" t="s">
        <v>2468</v>
      </c>
      <c r="C18" s="76" t="s">
        <v>116</v>
      </c>
      <c r="D18" s="77">
        <f>SUMIFS('0728 4度C'!$Y:$Y,'0728 4度C'!$A:$A,"新豐6線",'0728 4度C'!$B:$B,"平均")</f>
        <v>0</v>
      </c>
      <c r="E18" s="78">
        <f>SUMIFS('0728 4度C'!$Y:$Y,'0728 4度C'!$A:$A,"新豐2線",'0728 4度C'!$B:$B,"平均")</f>
        <v>0</v>
      </c>
      <c r="F18" s="78">
        <f>SUMIFS('0728 4度C'!$Y:$Y,'0728 4度C'!$A:$A,"新豐5線",'0728 4度C'!$B:$B,"平均")</f>
        <v>0</v>
      </c>
      <c r="G18" s="78">
        <f>SUMIFS('0728 4度C'!$Y:$Y,'0728 4度C'!$A:$A,"新豐7線",'0728 4度C'!$B:$B,"平均")</f>
        <v>0</v>
      </c>
      <c r="H18" s="78">
        <f>SUMIFS('0728 4度C'!$Y:$Y,'0728 4度C'!$A:$A,"新豐3線",'0728 4度C'!$B:$B,"平均")</f>
        <v>0</v>
      </c>
      <c r="I18" s="78">
        <f>SUMIFS('0728 4度C'!$Y:$Y,'0728 4度C'!$A:$A,"新豐1線",'0728 4度C'!$B:$B,"平均")</f>
        <v>0</v>
      </c>
      <c r="J18" s="79">
        <f>SUMIFS('0728 4度C'!$Y:$Y,'0728 4度C'!$A:$A,"新豐10線",'0728 4度C'!$B:$B,"平均")</f>
        <v>0</v>
      </c>
      <c r="K18" s="80">
        <f>SUMIFS('0728 4度C'!$Y:$Y,'0728 4度C'!$A:$A,"新豐8線",'0728 4度C'!$B:$B,"平均")</f>
        <v>0</v>
      </c>
      <c r="L18" s="78">
        <f>SUMIFS('0728 4度C'!$Y:$Y,'0728 4度C'!$A:$A,"新豐9線",'0728 4度C'!$B:$B,"平均")</f>
        <v>0</v>
      </c>
      <c r="M18" s="79">
        <f>SUMIFS('0728 4度C'!$Y:$Y,'0728 4度C'!$A:$A,"新豐4線",'0728 4度C'!$B:$B,"平均")</f>
        <v>0</v>
      </c>
    </row>
    <row r="19" spans="2:13" ht="17.25" customHeight="1">
      <c r="B19" s="545"/>
      <c r="C19" s="76" t="s">
        <v>2469</v>
      </c>
      <c r="D19" s="77">
        <f>SUMIFS('0728 4度C'!$Z:$Z,'0728 4度C'!$A:$A,"新豐6線",'0728 4度C'!$B:$B,"平均")</f>
        <v>0</v>
      </c>
      <c r="E19" s="78">
        <f>SUMIFS('0728 4度C'!$Z:$Z,'0728 4度C'!$A:$A,"新豐2線",'0728 4度C'!$B:$B,"平均")</f>
        <v>0</v>
      </c>
      <c r="F19" s="78">
        <f>SUMIFS('0728 4度C'!$Z:$Z,'0728 4度C'!$A:$A,"新豐5線",'0728 4度C'!$B:$B,"平均")</f>
        <v>0</v>
      </c>
      <c r="G19" s="78">
        <f>SUMIFS('0728 4度C'!$Z:$Z,'0728 4度C'!$A:$A,"新豐7線",'0728 4度C'!$B:$B,"平均")</f>
        <v>0</v>
      </c>
      <c r="H19" s="78">
        <f>SUMIFS('0728 4度C'!$Z:$Z,'0728 4度C'!$A:$A,"新豐3線",'0728 4度C'!$B:$B,"平均")</f>
        <v>0</v>
      </c>
      <c r="I19" s="78">
        <f>SUMIFS('0728 4度C'!$Z:$Z,'0728 4度C'!$A:$A,"新豐1線",'0728 4度C'!$B:$B,"平均")</f>
        <v>0</v>
      </c>
      <c r="J19" s="79">
        <f>SUMIFS('0728 4度C'!$Z:$Z,'0728 4度C'!$A:$A,"新豐10線",'0728 4度C'!$B:$B,"平均")</f>
        <v>0</v>
      </c>
      <c r="K19" s="80">
        <f>SUMIFS('0728 4度C'!$Z:$Z,'0728 4度C'!$A:$A,"新豐8線",'0728 4度C'!$B:$B,"平均")</f>
        <v>0</v>
      </c>
      <c r="L19" s="78">
        <f>SUMIFS('0728 4度C'!$Z:$Z,'0728 4度C'!$A:$A,"新豐9線",'0728 4度C'!$B:$B,"平均")</f>
        <v>0</v>
      </c>
      <c r="M19" s="79">
        <f>SUMIFS('0728 4度C'!$Z:$Z,'0728 4度C'!$A:$A,"新豐4線",'0728 4度C'!$B:$B,"平均")</f>
        <v>0</v>
      </c>
    </row>
    <row r="20" spans="2:13" ht="17.25" customHeight="1">
      <c r="B20" s="544" t="s">
        <v>2470</v>
      </c>
      <c r="C20" s="76" t="s">
        <v>116</v>
      </c>
      <c r="D20" s="77">
        <f>SUMIFS('0728 4度C'!$AC:$AC,'0728 4度C'!$A:$A,"新豐6線",'0728 4度C'!$B:$B,"平均")</f>
        <v>4</v>
      </c>
      <c r="E20" s="78">
        <f>SUMIFS('0728 4度C'!$AC:$AC,'0728 4度C'!$A:$A,"新豐2線",'0728 4度C'!$B:$B,"平均")</f>
        <v>5</v>
      </c>
      <c r="F20" s="78">
        <f>SUMIFS('0728 4度C'!$AC:$AC,'0728 4度C'!$A:$A,"新豐5線",'0728 4度C'!$B:$B,"平均")</f>
        <v>8</v>
      </c>
      <c r="G20" s="78">
        <f>SUMIFS('0728 4度C'!$AC:$AC,'0728 4度C'!$A:$A,"新豐7線",'0728 4度C'!$B:$B,"平均")</f>
        <v>7</v>
      </c>
      <c r="H20" s="78">
        <f>SUMIFS('0728 4度C'!$AC:$AC,'0728 4度C'!$A:$A,"新豐3線",'0728 4度C'!$B:$B,"平均")</f>
        <v>5</v>
      </c>
      <c r="I20" s="78">
        <f>SUMIFS('0728 4度C'!$AC:$AC,'0728 4度C'!$A:$A,"新豐1線",'0728 4度C'!$B:$B,"平均")</f>
        <v>10</v>
      </c>
      <c r="J20" s="79">
        <f>SUMIFS('0728 4度C'!$AC:$AC,'0728 4度C'!$A:$A,"新豐10線",'0728 4度C'!$B:$B,"平均")</f>
        <v>4</v>
      </c>
      <c r="K20" s="80">
        <f>SUMIFS('0728 4度C'!$AC:$AC,'0728 4度C'!$A:$A,"新豐8線",'0728 4度C'!$B:$B,"平均")</f>
        <v>9</v>
      </c>
      <c r="L20" s="78">
        <f>SUMIFS('0728 4度C'!$AC:$AC,'0728 4度C'!$A:$A,"新豐9線",'0728 4度C'!$B:$B,"平均")</f>
        <v>10</v>
      </c>
      <c r="M20" s="79">
        <f>SUMIFS('0728 4度C'!$AC:$AC,'0728 4度C'!$A:$A,"新豐4線",'0728 4度C'!$B:$B,"平均")</f>
        <v>9</v>
      </c>
    </row>
    <row r="21" spans="2:13" ht="17.25" customHeight="1">
      <c r="B21" s="545"/>
      <c r="C21" s="76" t="s">
        <v>117</v>
      </c>
      <c r="D21" s="77">
        <f>SUMIFS('0728 4度C'!$AD:$AD,'0728 4度C'!$A:$A,"新豐6線",'0728 4度C'!$B:$B,"平均")</f>
        <v>0</v>
      </c>
      <c r="E21" s="78">
        <f>SUMIFS('0728 4度C'!$AD:$AD,'0728 4度C'!$A:$A,"新豐2線",'0728 4度C'!$B:$B,"平均")</f>
        <v>0</v>
      </c>
      <c r="F21" s="78">
        <f>SUMIFS('0728 4度C'!$AD:$AD,'0728 4度C'!$A:$A,"新豐5線",'0728 4度C'!$B:$B,"平均")</f>
        <v>0</v>
      </c>
      <c r="G21" s="78">
        <f>SUMIFS('0728 4度C'!$AD:$AD,'0728 4度C'!$A:$A,"新豐7線",'0728 4度C'!$B:$B,"平均")</f>
        <v>0</v>
      </c>
      <c r="H21" s="78">
        <f>SUMIFS('0728 4度C'!$AD:$AD,'0728 4度C'!$A:$A,"新豐3線",'0728 4度C'!$B:$B,"平均")</f>
        <v>0</v>
      </c>
      <c r="I21" s="78">
        <f>SUMIFS('0728 4度C'!$AD:$AD,'0728 4度C'!$A:$A,"新豐1線",'0728 4度C'!$B:$B,"平均")</f>
        <v>0</v>
      </c>
      <c r="J21" s="79">
        <f>SUMIFS('0728 4度C'!$AD:$AD,'0728 4度C'!$A:$A,"新豐10線",'0728 4度C'!$B:$B,"平均")</f>
        <v>0</v>
      </c>
      <c r="K21" s="80">
        <f>SUMIFS('0728 4度C'!$AD:$AD,'0728 4度C'!$A:$A,"新豐8線",'0728 4度C'!$B:$B,"平均")</f>
        <v>0</v>
      </c>
      <c r="L21" s="78">
        <f>SUMIFS('0728 4度C'!$AD:$AD,'0728 4度C'!$A:$A,"新豐9線",'0728 4度C'!$B:$B,"平均")</f>
        <v>0</v>
      </c>
      <c r="M21" s="79">
        <f>SUMIFS('0728 4度C'!$AD:$AD,'0728 4度C'!$A:$A,"新豐4線",'0728 4度C'!$B:$B,"平均")</f>
        <v>0</v>
      </c>
    </row>
    <row r="22" spans="2:13" ht="17.25" customHeight="1">
      <c r="B22" s="546" t="s">
        <v>118</v>
      </c>
      <c r="C22" s="547"/>
      <c r="D22" s="81">
        <f>SUMIFS('0728 4度C'!$I:$I,'0728 4度C'!$A:$A,"新豐6線",'0728 4度C'!$B:$B,"平均")</f>
        <v>15.5</v>
      </c>
      <c r="E22" s="82">
        <f>SUMIFS('0728 4度C'!$I:$I,'0728 4度C'!$A:$A,"新豐2線",'0728 4度C'!$B:$B,"平均")</f>
        <v>17.399999999999999</v>
      </c>
      <c r="F22" s="82">
        <f>SUMIFS('0728 4度C'!$I:$I,'0728 4度C'!$A:$A,"新豐5線",'0728 4度C'!$B:$B,"平均")</f>
        <v>18.625</v>
      </c>
      <c r="G22" s="82">
        <f>SUMIFS('0728 4度C'!$I:$I,'0728 4度C'!$A:$A,"新豐7線",'0728 4度C'!$B:$B,"平均")</f>
        <v>15.714285714285714</v>
      </c>
      <c r="H22" s="82">
        <f>SUMIFS('0728 4度C'!$I:$I,'0728 4度C'!$A:$A,"新豐3線",'0728 4度C'!$B:$B,"平均")</f>
        <v>9.4</v>
      </c>
      <c r="I22" s="82">
        <f>SUMIFS('0728 4度C'!$I:$I,'0728 4度C'!$A:$A,"新豐1線",'0728 4度C'!$B:$B,"平均")</f>
        <v>17.7</v>
      </c>
      <c r="J22" s="83">
        <f>SUMIFS('0728 4度C'!$I:$I,'0728 4度C'!$A:$A,"新豐10線",'0728 4度C'!$B:$B,"平均")</f>
        <v>10.25</v>
      </c>
      <c r="K22" s="81">
        <f>SUMIFS('0728 4度C'!$I:$I,'0728 4度C'!$A:$A,"新豐8線",'0728 4度C'!$B:$B,"平均")</f>
        <v>17.444444444444443</v>
      </c>
      <c r="L22" s="82">
        <f>SUMIFS('0728 4度C'!$I:$I,'0728 4度C'!$A:$A,"新豐9線",'0728 4度C'!$B:$B,"平均")</f>
        <v>18.100000000000001</v>
      </c>
      <c r="M22" s="83">
        <f>SUMIFS('0728 4度C'!$I:$I,'0728 4度C'!$A:$A,"新豐4線",'0728 4度C'!$B:$B,"平均")</f>
        <v>15.888888888888889</v>
      </c>
    </row>
    <row r="23" spans="2:13" ht="17.25" customHeight="1">
      <c r="B23" s="546" t="s">
        <v>119</v>
      </c>
      <c r="C23" s="547"/>
      <c r="D23" s="84" t="s">
        <v>54</v>
      </c>
      <c r="E23" s="85" t="s">
        <v>55</v>
      </c>
      <c r="F23" s="85" t="s">
        <v>2471</v>
      </c>
      <c r="G23" s="85" t="s">
        <v>2471</v>
      </c>
      <c r="H23" s="85" t="s">
        <v>56</v>
      </c>
      <c r="I23" s="85" t="s">
        <v>54</v>
      </c>
      <c r="J23" s="86" t="s">
        <v>56</v>
      </c>
      <c r="K23" s="84" t="s">
        <v>2472</v>
      </c>
      <c r="L23" s="85" t="s">
        <v>2472</v>
      </c>
      <c r="M23" s="86" t="s">
        <v>121</v>
      </c>
    </row>
    <row r="24" spans="2:13" ht="17.25" customHeight="1">
      <c r="B24" s="546" t="s">
        <v>2473</v>
      </c>
      <c r="C24" s="547"/>
      <c r="D24" s="84"/>
      <c r="E24" s="85"/>
      <c r="F24" s="85" t="s">
        <v>123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2474</v>
      </c>
      <c r="C25" s="549"/>
      <c r="D25" s="87"/>
      <c r="E25" s="88" t="s">
        <v>125</v>
      </c>
      <c r="F25" s="542" t="s">
        <v>2475</v>
      </c>
      <c r="G25" s="543"/>
      <c r="H25" s="88" t="s">
        <v>237</v>
      </c>
      <c r="I25" s="88" t="s">
        <v>128</v>
      </c>
      <c r="J25" s="89" t="s">
        <v>2476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6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6"/>
  <sheetViews>
    <sheetView zoomScale="80" zoomScaleNormal="80" workbookViewId="0">
      <pane ySplit="4" topLeftCell="A5" activePane="bottomLeft" state="frozen"/>
      <selection activeCell="W12" sqref="W12"/>
      <selection pane="bottomLeft" activeCell="W12" sqref="W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130</v>
      </c>
      <c r="D1" s="3">
        <f>SUM(F5:F85)</f>
        <v>208783</v>
      </c>
      <c r="E1" s="487" t="s">
        <v>131</v>
      </c>
      <c r="F1" s="1">
        <f>SUM(G5:G85)</f>
        <v>7261248.1600000001</v>
      </c>
      <c r="G1" s="1" t="s">
        <v>132</v>
      </c>
      <c r="H1" s="4">
        <f>L9+L15+L59+L70+L24+L75+L42+L53+L32+L85</f>
        <v>156.02261904761906</v>
      </c>
      <c r="I1" s="654" t="s">
        <v>337</v>
      </c>
      <c r="J1" s="654"/>
      <c r="K1" s="654"/>
      <c r="L1" s="654" t="s">
        <v>134</v>
      </c>
      <c r="M1" s="654"/>
      <c r="N1" s="654"/>
      <c r="O1" s="654" t="s">
        <v>135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341</v>
      </c>
      <c r="Z1" s="6" t="s">
        <v>138</v>
      </c>
      <c r="AA1" s="655" t="s">
        <v>139</v>
      </c>
      <c r="AB1" s="655"/>
      <c r="AC1" s="92" t="s">
        <v>341</v>
      </c>
      <c r="AD1" s="6" t="s">
        <v>140</v>
      </c>
      <c r="AE1" s="654" t="s">
        <v>141</v>
      </c>
      <c r="AF1" s="656"/>
      <c r="AG1" s="656"/>
    </row>
    <row r="2" spans="1:33" ht="26.25" customHeight="1">
      <c r="A2" s="25">
        <v>46231</v>
      </c>
      <c r="B2" s="26" t="s">
        <v>689</v>
      </c>
      <c r="C2" s="2" t="s">
        <v>107</v>
      </c>
      <c r="D2" s="8">
        <f>AVERAGE(N9,N15,N59,N70,N24,N75,N32,N42,N53,N85)</f>
        <v>151.00026103433913</v>
      </c>
      <c r="E2" s="9" t="s">
        <v>0</v>
      </c>
      <c r="F2" s="10">
        <f>F1/D1</f>
        <v>34.778924337709491</v>
      </c>
      <c r="G2" s="1" t="s">
        <v>347</v>
      </c>
      <c r="H2" s="495">
        <f>COUNT(H5:H85)</f>
        <v>17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SUM(Y9+Y15+Y24+Y32+Y42+Y53+Y59+Y70+Y75+Y85)</f>
        <v>0</v>
      </c>
      <c r="Z2" s="11">
        <f>SUM(Z9+Z15+Z24+Z32+Z42+Z53+Z59+Z70+Z75+Z85)</f>
        <v>0</v>
      </c>
      <c r="AA2" s="655"/>
      <c r="AB2" s="655"/>
      <c r="AC2" s="11">
        <v>71</v>
      </c>
      <c r="AD2" s="11">
        <f>SUM(AD9+AD15+AD24+AD32+AD42+AD53+AD59+AD70+AD75+AD85)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145</v>
      </c>
      <c r="C3" s="612" t="s">
        <v>146</v>
      </c>
      <c r="D3" s="612"/>
      <c r="E3" s="652" t="s">
        <v>351</v>
      </c>
      <c r="F3" s="612" t="s">
        <v>148</v>
      </c>
      <c r="G3" s="652" t="s">
        <v>149</v>
      </c>
      <c r="H3" s="645" t="s">
        <v>150</v>
      </c>
      <c r="I3" s="644" t="s">
        <v>153</v>
      </c>
      <c r="J3" s="641" t="s">
        <v>154</v>
      </c>
      <c r="K3" s="650" t="s">
        <v>107</v>
      </c>
      <c r="L3" s="644" t="s">
        <v>153</v>
      </c>
      <c r="M3" s="641" t="s">
        <v>154</v>
      </c>
      <c r="N3" s="650" t="s">
        <v>107</v>
      </c>
      <c r="O3" s="644" t="s">
        <v>153</v>
      </c>
      <c r="P3" s="650" t="s">
        <v>107</v>
      </c>
      <c r="Q3" s="642" t="s">
        <v>158</v>
      </c>
      <c r="R3" s="621" t="s">
        <v>159</v>
      </c>
      <c r="S3" s="651" t="s">
        <v>1</v>
      </c>
      <c r="T3" s="651"/>
      <c r="U3" s="645" t="s">
        <v>2</v>
      </c>
      <c r="V3" s="645" t="s">
        <v>2477</v>
      </c>
      <c r="W3" s="612" t="s">
        <v>2478</v>
      </c>
      <c r="X3" s="612"/>
      <c r="Y3" s="646" t="s">
        <v>2479</v>
      </c>
      <c r="Z3" s="611"/>
      <c r="AA3" s="647" t="s">
        <v>2480</v>
      </c>
      <c r="AB3" s="648"/>
      <c r="AC3" s="646" t="s">
        <v>2481</v>
      </c>
      <c r="AD3" s="611"/>
      <c r="AE3" s="641" t="s">
        <v>2482</v>
      </c>
      <c r="AF3" s="642" t="s">
        <v>2483</v>
      </c>
      <c r="AG3" s="621" t="s">
        <v>2484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94" t="s">
        <v>3</v>
      </c>
      <c r="T4" s="494" t="s">
        <v>4</v>
      </c>
      <c r="U4" s="645"/>
      <c r="V4" s="645"/>
      <c r="W4" s="487" t="s">
        <v>2485</v>
      </c>
      <c r="X4" s="487" t="s">
        <v>2486</v>
      </c>
      <c r="Y4" s="486" t="s">
        <v>2487</v>
      </c>
      <c r="Z4" s="486" t="s">
        <v>2488</v>
      </c>
      <c r="AA4" s="649"/>
      <c r="AB4" s="648"/>
      <c r="AC4" s="486" t="s">
        <v>2489</v>
      </c>
      <c r="AD4" s="486" t="s">
        <v>2490</v>
      </c>
      <c r="AE4" s="641"/>
      <c r="AF4" s="642"/>
      <c r="AG4" s="621"/>
    </row>
    <row r="5" spans="1:33">
      <c r="A5" s="643" t="s">
        <v>2491</v>
      </c>
      <c r="B5" s="27" t="s">
        <v>5</v>
      </c>
      <c r="C5" s="657" t="s">
        <v>14</v>
      </c>
      <c r="D5" s="657"/>
      <c r="E5" s="27">
        <v>50.92</v>
      </c>
      <c r="F5" s="494">
        <v>2341</v>
      </c>
      <c r="G5" s="487">
        <f t="shared" ref="G5:G8" si="0">E5*F5</f>
        <v>119203.72</v>
      </c>
      <c r="H5" s="31" t="s">
        <v>40</v>
      </c>
      <c r="I5" s="492">
        <v>15</v>
      </c>
      <c r="J5" s="29">
        <v>2000</v>
      </c>
      <c r="K5" s="12">
        <f t="shared" ref="K5:K68" si="1">J5/I5</f>
        <v>133.33333333333334</v>
      </c>
      <c r="L5" s="492">
        <v>15</v>
      </c>
      <c r="M5" s="13">
        <f t="shared" ref="M5:M8" si="2">F5/V5*60</f>
        <v>1924.1095890410945</v>
      </c>
      <c r="N5" s="12">
        <f t="shared" ref="N5:N68" si="3">M5/L5</f>
        <v>128.27397260273963</v>
      </c>
      <c r="O5" s="14">
        <f t="shared" ref="O5:O68" si="4">L5-I5</f>
        <v>0</v>
      </c>
      <c r="P5" s="15">
        <f t="shared" ref="P5:P68" si="5">N5-K5</f>
        <v>-5.0593607305937098</v>
      </c>
      <c r="Q5" s="488">
        <f t="shared" ref="Q5:Q68" si="6">N5/K5</f>
        <v>0.96205479452054721</v>
      </c>
      <c r="R5" s="616">
        <f>Q9</f>
        <v>0.96119918250110437</v>
      </c>
      <c r="S5" s="32">
        <v>0.70833333333333337</v>
      </c>
      <c r="T5" s="32">
        <v>0.75902777777777786</v>
      </c>
      <c r="U5" s="487"/>
      <c r="V5" s="493">
        <f t="shared" ref="V5:V8" si="7">(T5-S5)*24*60</f>
        <v>73.000000000000057</v>
      </c>
      <c r="W5" s="16"/>
      <c r="X5" s="16"/>
      <c r="Y5" s="17"/>
      <c r="Z5" s="17"/>
      <c r="AA5" s="612"/>
      <c r="AB5" s="612"/>
      <c r="AC5" s="18">
        <v>4</v>
      </c>
      <c r="AD5" s="18"/>
      <c r="AE5" s="14">
        <f t="shared" ref="AE5:AE68" si="8">M5-J5</f>
        <v>-75.890410958905477</v>
      </c>
      <c r="AF5" s="488">
        <f t="shared" ref="AF5:AF68" si="9">M5/J5</f>
        <v>0.96205479452054721</v>
      </c>
      <c r="AG5" s="616">
        <f>AF9</f>
        <v>0.96119918250110437</v>
      </c>
    </row>
    <row r="6" spans="1:33">
      <c r="A6" s="644" t="s">
        <v>172</v>
      </c>
      <c r="B6" s="27" t="s">
        <v>5</v>
      </c>
      <c r="C6" s="657" t="s">
        <v>19</v>
      </c>
      <c r="D6" s="657"/>
      <c r="E6" s="27">
        <v>50.98</v>
      </c>
      <c r="F6" s="494">
        <v>1000</v>
      </c>
      <c r="G6" s="487">
        <f t="shared" si="0"/>
        <v>50980</v>
      </c>
      <c r="H6" s="31">
        <v>2</v>
      </c>
      <c r="I6" s="492">
        <v>16</v>
      </c>
      <c r="J6" s="29">
        <v>2000</v>
      </c>
      <c r="K6" s="12">
        <f t="shared" si="1"/>
        <v>125</v>
      </c>
      <c r="L6" s="492">
        <v>16</v>
      </c>
      <c r="M6" s="13">
        <f t="shared" si="2"/>
        <v>1935.483870967739</v>
      </c>
      <c r="N6" s="12">
        <f t="shared" si="3"/>
        <v>120.96774193548369</v>
      </c>
      <c r="O6" s="14">
        <f t="shared" si="4"/>
        <v>0</v>
      </c>
      <c r="P6" s="15">
        <f t="shared" si="5"/>
        <v>-4.0322580645163129</v>
      </c>
      <c r="Q6" s="488">
        <f t="shared" si="6"/>
        <v>0.96774193548386944</v>
      </c>
      <c r="R6" s="616"/>
      <c r="S6" s="32">
        <v>0.76250000000000007</v>
      </c>
      <c r="T6" s="32">
        <v>0.78402777777777788</v>
      </c>
      <c r="U6" s="487">
        <f t="shared" ref="U6:U8" si="10">IF(S6=TIME(17,0,0),"",(S6-T5)*24*60)</f>
        <v>4.9999999999999822</v>
      </c>
      <c r="V6" s="493">
        <f t="shared" si="7"/>
        <v>31.00000000000005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-64.516129032261006</v>
      </c>
      <c r="AF6" s="488">
        <f t="shared" si="9"/>
        <v>0.96774193548386944</v>
      </c>
      <c r="AG6" s="616"/>
    </row>
    <row r="7" spans="1:33">
      <c r="A7" s="644" t="s">
        <v>172</v>
      </c>
      <c r="B7" s="27" t="s">
        <v>5</v>
      </c>
      <c r="C7" s="638" t="s">
        <v>7</v>
      </c>
      <c r="D7" s="639"/>
      <c r="E7" s="27">
        <v>50.67</v>
      </c>
      <c r="F7" s="494">
        <v>1524</v>
      </c>
      <c r="G7" s="487">
        <f t="shared" si="0"/>
        <v>77221.08</v>
      </c>
      <c r="H7" s="31" t="s">
        <v>40</v>
      </c>
      <c r="I7" s="492">
        <v>15</v>
      </c>
      <c r="J7" s="29">
        <v>2000</v>
      </c>
      <c r="K7" s="12">
        <f t="shared" si="1"/>
        <v>133.33333333333334</v>
      </c>
      <c r="L7" s="492">
        <v>15</v>
      </c>
      <c r="M7" s="13">
        <f t="shared" si="2"/>
        <v>1905.0000000000007</v>
      </c>
      <c r="N7" s="12">
        <f t="shared" si="3"/>
        <v>127.00000000000004</v>
      </c>
      <c r="O7" s="14">
        <f t="shared" si="4"/>
        <v>0</v>
      </c>
      <c r="P7" s="15">
        <f t="shared" si="5"/>
        <v>-6.3333333333333002</v>
      </c>
      <c r="Q7" s="488">
        <f t="shared" si="6"/>
        <v>0.95250000000000024</v>
      </c>
      <c r="R7" s="616"/>
      <c r="S7" s="32">
        <v>0.78958333333333341</v>
      </c>
      <c r="T7" s="32">
        <v>0.82291666666666674</v>
      </c>
      <c r="U7" s="487">
        <f t="shared" si="10"/>
        <v>7.9999999999999716</v>
      </c>
      <c r="V7" s="493">
        <f t="shared" si="7"/>
        <v>47.999999999999986</v>
      </c>
      <c r="W7" s="16">
        <f>T7</f>
        <v>0.82291666666666674</v>
      </c>
      <c r="X7" s="16">
        <f>S8</f>
        <v>0.86527777777777781</v>
      </c>
      <c r="Y7" s="19"/>
      <c r="Z7" s="19"/>
      <c r="AA7" s="607"/>
      <c r="AB7" s="608"/>
      <c r="AC7" s="267"/>
      <c r="AD7" s="267"/>
      <c r="AE7" s="14">
        <f t="shared" si="8"/>
        <v>-94.999999999999318</v>
      </c>
      <c r="AF7" s="488">
        <f t="shared" si="9"/>
        <v>0.95250000000000035</v>
      </c>
      <c r="AG7" s="616"/>
    </row>
    <row r="8" spans="1:33">
      <c r="A8" s="644" t="s">
        <v>172</v>
      </c>
      <c r="B8" s="27" t="s">
        <v>5</v>
      </c>
      <c r="C8" s="638" t="s">
        <v>19</v>
      </c>
      <c r="D8" s="639"/>
      <c r="E8" s="27">
        <v>50.98</v>
      </c>
      <c r="F8" s="494">
        <v>1540</v>
      </c>
      <c r="G8" s="487">
        <f t="shared" si="0"/>
        <v>78509.2</v>
      </c>
      <c r="H8" s="31" t="s">
        <v>40</v>
      </c>
      <c r="I8" s="492">
        <v>16</v>
      </c>
      <c r="J8" s="29">
        <v>2000</v>
      </c>
      <c r="K8" s="12">
        <f t="shared" si="1"/>
        <v>125</v>
      </c>
      <c r="L8" s="492">
        <v>16</v>
      </c>
      <c r="M8" s="13">
        <f t="shared" si="2"/>
        <v>1925.0000000000005</v>
      </c>
      <c r="N8" s="12">
        <f t="shared" si="3"/>
        <v>120.31250000000003</v>
      </c>
      <c r="O8" s="14">
        <f t="shared" si="4"/>
        <v>0</v>
      </c>
      <c r="P8" s="15">
        <f t="shared" si="5"/>
        <v>-4.6874999999999716</v>
      </c>
      <c r="Q8" s="488">
        <f t="shared" si="6"/>
        <v>0.96250000000000024</v>
      </c>
      <c r="R8" s="616"/>
      <c r="S8" s="32">
        <v>0.86527777777777781</v>
      </c>
      <c r="T8" s="32">
        <v>0.89861111111111114</v>
      </c>
      <c r="U8" s="487">
        <f t="shared" si="10"/>
        <v>60.999999999999943</v>
      </c>
      <c r="V8" s="493">
        <f t="shared" si="7"/>
        <v>47.999999999999986</v>
      </c>
      <c r="W8" s="20"/>
      <c r="X8" s="20"/>
      <c r="Y8" s="270"/>
      <c r="Z8" s="270"/>
      <c r="AA8" s="607"/>
      <c r="AB8" s="608"/>
      <c r="AC8" s="267"/>
      <c r="AD8" s="267"/>
      <c r="AE8" s="14">
        <f t="shared" si="8"/>
        <v>-74.999999999999545</v>
      </c>
      <c r="AF8" s="488">
        <f t="shared" si="9"/>
        <v>0.96250000000000024</v>
      </c>
      <c r="AG8" s="616"/>
    </row>
    <row r="9" spans="1:33">
      <c r="A9" s="644" t="s">
        <v>172</v>
      </c>
      <c r="B9" s="27" t="s">
        <v>174</v>
      </c>
      <c r="C9" s="658"/>
      <c r="D9" s="658"/>
      <c r="E9" s="489"/>
      <c r="F9" s="28"/>
      <c r="G9" s="12"/>
      <c r="H9" s="494"/>
      <c r="I9" s="21">
        <v>15.5</v>
      </c>
      <c r="J9" s="29">
        <v>2000</v>
      </c>
      <c r="K9" s="12">
        <f t="shared" si="1"/>
        <v>129.03225806451613</v>
      </c>
      <c r="L9" s="21">
        <v>15.5</v>
      </c>
      <c r="M9" s="13">
        <f>AVERAGE(M5:M8)</f>
        <v>1922.3983650022087</v>
      </c>
      <c r="N9" s="12">
        <f t="shared" si="3"/>
        <v>124.02570096788443</v>
      </c>
      <c r="O9" s="14">
        <f t="shared" si="4"/>
        <v>0</v>
      </c>
      <c r="P9" s="15">
        <f t="shared" si="5"/>
        <v>-5.0065570966316955</v>
      </c>
      <c r="Q9" s="488">
        <f t="shared" si="6"/>
        <v>0.96119918250110437</v>
      </c>
      <c r="R9" s="616"/>
      <c r="S9" s="32"/>
      <c r="T9" s="32"/>
      <c r="U9" s="487"/>
      <c r="V9" s="493"/>
      <c r="W9" s="12"/>
      <c r="X9" s="12"/>
      <c r="Y9" s="22">
        <f>SUM(Y5:Y8)</f>
        <v>0</v>
      </c>
      <c r="Z9" s="22">
        <f>SUM(Z5:Z8)</f>
        <v>0</v>
      </c>
      <c r="AA9" s="611"/>
      <c r="AB9" s="611"/>
      <c r="AC9" s="22">
        <v>4</v>
      </c>
      <c r="AD9" s="22">
        <f>SUM(AD5:AD8)</f>
        <v>0</v>
      </c>
      <c r="AE9" s="14">
        <f t="shared" si="8"/>
        <v>-77.60163499779128</v>
      </c>
      <c r="AF9" s="488">
        <f t="shared" si="9"/>
        <v>0.96119918250110437</v>
      </c>
      <c r="AG9" s="616"/>
    </row>
    <row r="10" spans="1:33" ht="15.75" customHeight="1">
      <c r="A10" s="640" t="s">
        <v>175</v>
      </c>
      <c r="B10" s="27" t="s">
        <v>8</v>
      </c>
      <c r="C10" s="638" t="s">
        <v>10</v>
      </c>
      <c r="D10" s="639"/>
      <c r="E10" s="27">
        <v>39.799999999999997</v>
      </c>
      <c r="F10" s="494">
        <v>3700</v>
      </c>
      <c r="G10" s="487">
        <f t="shared" ref="G10:G14" si="11">E10*F10</f>
        <v>147260</v>
      </c>
      <c r="H10" s="31">
        <v>2</v>
      </c>
      <c r="I10" s="492">
        <v>17</v>
      </c>
      <c r="J10" s="29">
        <v>1500</v>
      </c>
      <c r="K10" s="12">
        <f t="shared" si="1"/>
        <v>88.235294117647058</v>
      </c>
      <c r="L10" s="492">
        <v>17</v>
      </c>
      <c r="M10" s="13">
        <f t="shared" ref="M10:M14" si="12">F10/V10*60</f>
        <v>1432.2580645161293</v>
      </c>
      <c r="N10" s="12">
        <f t="shared" si="3"/>
        <v>84.250474383301722</v>
      </c>
      <c r="O10" s="14">
        <f t="shared" si="4"/>
        <v>0</v>
      </c>
      <c r="P10" s="15">
        <f t="shared" si="5"/>
        <v>-3.9848197343453364</v>
      </c>
      <c r="Q10" s="488">
        <f t="shared" si="6"/>
        <v>0.95483870967741957</v>
      </c>
      <c r="R10" s="616">
        <f>Q15</f>
        <v>0.95508032524194586</v>
      </c>
      <c r="S10" s="32">
        <v>8.3333333333333329E-2</v>
      </c>
      <c r="T10" s="32">
        <v>0.19097222222222221</v>
      </c>
      <c r="U10" s="487"/>
      <c r="V10" s="493">
        <f t="shared" ref="V10:V14" si="13">(T10-S10)*24*60</f>
        <v>154.99999999999997</v>
      </c>
      <c r="W10" s="16">
        <f>T10</f>
        <v>0.19097222222222221</v>
      </c>
      <c r="X10" s="16">
        <f>S11</f>
        <v>0.20972222222222223</v>
      </c>
      <c r="Y10" s="16"/>
      <c r="Z10" s="16"/>
      <c r="AA10" s="612"/>
      <c r="AB10" s="612"/>
      <c r="AC10" s="18">
        <v>5</v>
      </c>
      <c r="AD10" s="18"/>
      <c r="AE10" s="14">
        <f t="shared" si="8"/>
        <v>-67.741935483870748</v>
      </c>
      <c r="AF10" s="488">
        <f t="shared" si="9"/>
        <v>0.95483870967741946</v>
      </c>
      <c r="AG10" s="616">
        <f>AF15</f>
        <v>0.95508032524194586</v>
      </c>
    </row>
    <row r="11" spans="1:33" ht="15.75" customHeight="1">
      <c r="A11" s="640" t="s">
        <v>175</v>
      </c>
      <c r="B11" s="27" t="s">
        <v>8</v>
      </c>
      <c r="C11" s="638" t="s">
        <v>63</v>
      </c>
      <c r="D11" s="639"/>
      <c r="E11" s="27">
        <v>39.46</v>
      </c>
      <c r="F11" s="494">
        <v>3029</v>
      </c>
      <c r="G11" s="487">
        <f t="shared" si="11"/>
        <v>119524.34</v>
      </c>
      <c r="H11" s="31" t="s">
        <v>40</v>
      </c>
      <c r="I11" s="492">
        <v>15</v>
      </c>
      <c r="J11" s="29">
        <v>1500</v>
      </c>
      <c r="K11" s="12">
        <f t="shared" si="1"/>
        <v>100</v>
      </c>
      <c r="L11" s="492">
        <v>15</v>
      </c>
      <c r="M11" s="13">
        <f t="shared" si="12"/>
        <v>1431.0236220472443</v>
      </c>
      <c r="N11" s="12">
        <f t="shared" si="3"/>
        <v>95.401574803149614</v>
      </c>
      <c r="O11" s="14">
        <f t="shared" si="4"/>
        <v>0</v>
      </c>
      <c r="P11" s="15">
        <f t="shared" si="5"/>
        <v>-4.5984251968503855</v>
      </c>
      <c r="Q11" s="488">
        <f t="shared" si="6"/>
        <v>0.95401574803149614</v>
      </c>
      <c r="R11" s="616"/>
      <c r="S11" s="32">
        <v>0.20972222222222223</v>
      </c>
      <c r="T11" s="32">
        <v>0.29791666666666666</v>
      </c>
      <c r="U11" s="487">
        <f t="shared" ref="U11:U14" si="14">IF(S11=TIME(17,0,0),"",(S11-T10)*24*60)</f>
        <v>27.000000000000025</v>
      </c>
      <c r="V11" s="493">
        <f t="shared" si="13"/>
        <v>126.99999999999997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-68.976377952755684</v>
      </c>
      <c r="AF11" s="488">
        <f t="shared" si="9"/>
        <v>0.95401574803149625</v>
      </c>
      <c r="AG11" s="616"/>
    </row>
    <row r="12" spans="1:33" ht="15.75" customHeight="1">
      <c r="A12" s="640" t="s">
        <v>175</v>
      </c>
      <c r="B12" s="27" t="s">
        <v>8</v>
      </c>
      <c r="C12" s="638" t="s">
        <v>74</v>
      </c>
      <c r="D12" s="639"/>
      <c r="E12" s="27">
        <v>39.520000000000003</v>
      </c>
      <c r="F12" s="494">
        <v>2438</v>
      </c>
      <c r="G12" s="487">
        <f t="shared" si="11"/>
        <v>96349.760000000009</v>
      </c>
      <c r="H12" s="31" t="s">
        <v>40</v>
      </c>
      <c r="I12" s="492">
        <v>19</v>
      </c>
      <c r="J12" s="29">
        <v>1500</v>
      </c>
      <c r="K12" s="12">
        <f t="shared" si="1"/>
        <v>78.94736842105263</v>
      </c>
      <c r="L12" s="492">
        <v>19</v>
      </c>
      <c r="M12" s="13">
        <f t="shared" si="12"/>
        <v>1434.117647058823</v>
      </c>
      <c r="N12" s="12">
        <f t="shared" si="3"/>
        <v>75.479876160990685</v>
      </c>
      <c r="O12" s="14">
        <f t="shared" si="4"/>
        <v>0</v>
      </c>
      <c r="P12" s="15">
        <f t="shared" si="5"/>
        <v>-3.4674922600619453</v>
      </c>
      <c r="Q12" s="488">
        <f t="shared" si="6"/>
        <v>0.95607843137254866</v>
      </c>
      <c r="R12" s="616"/>
      <c r="S12" s="32">
        <v>0.30138888888888887</v>
      </c>
      <c r="T12" s="32">
        <v>0.37222222222222223</v>
      </c>
      <c r="U12" s="487">
        <f t="shared" si="14"/>
        <v>4.9999999999999822</v>
      </c>
      <c r="V12" s="493">
        <f t="shared" si="13"/>
        <v>102.00000000000004</v>
      </c>
      <c r="W12" s="16"/>
      <c r="X12" s="16"/>
      <c r="Y12" s="16"/>
      <c r="Z12" s="16"/>
      <c r="AA12" s="612"/>
      <c r="AB12" s="612"/>
      <c r="AC12" s="18"/>
      <c r="AD12" s="18"/>
      <c r="AE12" s="14">
        <f t="shared" si="8"/>
        <v>-65.882352941177032</v>
      </c>
      <c r="AF12" s="488">
        <f t="shared" si="9"/>
        <v>0.95607843137254866</v>
      </c>
      <c r="AG12" s="616"/>
    </row>
    <row r="13" spans="1:33" ht="15.75" customHeight="1">
      <c r="A13" s="640" t="s">
        <v>175</v>
      </c>
      <c r="B13" s="27" t="s">
        <v>8</v>
      </c>
      <c r="C13" s="638" t="s">
        <v>9</v>
      </c>
      <c r="D13" s="639"/>
      <c r="E13" s="27">
        <v>39.619999999999997</v>
      </c>
      <c r="F13" s="494">
        <v>4740</v>
      </c>
      <c r="G13" s="487">
        <f t="shared" si="11"/>
        <v>187798.8</v>
      </c>
      <c r="H13" s="31" t="s">
        <v>40</v>
      </c>
      <c r="I13" s="492">
        <v>19</v>
      </c>
      <c r="J13" s="29">
        <v>1500</v>
      </c>
      <c r="K13" s="12">
        <f t="shared" si="1"/>
        <v>78.94736842105263</v>
      </c>
      <c r="L13" s="492">
        <v>19</v>
      </c>
      <c r="M13" s="13">
        <f t="shared" si="12"/>
        <v>1429.1457286432164</v>
      </c>
      <c r="N13" s="12">
        <f t="shared" si="3"/>
        <v>75.218196244379811</v>
      </c>
      <c r="O13" s="14">
        <f t="shared" si="4"/>
        <v>0</v>
      </c>
      <c r="P13" s="15">
        <f t="shared" si="5"/>
        <v>-3.7291721766728188</v>
      </c>
      <c r="Q13" s="488">
        <f t="shared" si="6"/>
        <v>0.95276381909547758</v>
      </c>
      <c r="R13" s="616"/>
      <c r="S13" s="32">
        <v>0.37569444444444444</v>
      </c>
      <c r="T13" s="32">
        <v>0.51388888888888884</v>
      </c>
      <c r="U13" s="487">
        <f t="shared" si="14"/>
        <v>4.9999999999999822</v>
      </c>
      <c r="V13" s="493">
        <f t="shared" si="13"/>
        <v>198.99999999999994</v>
      </c>
      <c r="W13" s="16">
        <f>T13</f>
        <v>0.51388888888888884</v>
      </c>
      <c r="X13" s="16">
        <f>S14</f>
        <v>0.55555555555555547</v>
      </c>
      <c r="Y13" s="16"/>
      <c r="Z13" s="16"/>
      <c r="AA13" s="607"/>
      <c r="AB13" s="608"/>
      <c r="AC13" s="18"/>
      <c r="AD13" s="18"/>
      <c r="AE13" s="14">
        <f t="shared" si="8"/>
        <v>-70.854271356783556</v>
      </c>
      <c r="AF13" s="488">
        <f t="shared" si="9"/>
        <v>0.95276381909547758</v>
      </c>
      <c r="AG13" s="616"/>
    </row>
    <row r="14" spans="1:33" ht="15.75" customHeight="1">
      <c r="A14" s="640" t="s">
        <v>175</v>
      </c>
      <c r="B14" s="27" t="s">
        <v>8</v>
      </c>
      <c r="C14" s="638" t="s">
        <v>10</v>
      </c>
      <c r="D14" s="639"/>
      <c r="E14" s="27">
        <v>39.799999999999997</v>
      </c>
      <c r="F14" s="494">
        <v>2921</v>
      </c>
      <c r="G14" s="487">
        <f t="shared" si="11"/>
        <v>116255.79999999999</v>
      </c>
      <c r="H14" s="31" t="s">
        <v>40</v>
      </c>
      <c r="I14" s="492">
        <v>17</v>
      </c>
      <c r="J14" s="29">
        <v>1500</v>
      </c>
      <c r="K14" s="12">
        <f t="shared" si="1"/>
        <v>88.235294117647058</v>
      </c>
      <c r="L14" s="492">
        <v>17</v>
      </c>
      <c r="M14" s="13">
        <f t="shared" si="12"/>
        <v>1436.5573770491799</v>
      </c>
      <c r="N14" s="12">
        <f t="shared" si="3"/>
        <v>84.503375120539999</v>
      </c>
      <c r="O14" s="14">
        <f t="shared" si="4"/>
        <v>0</v>
      </c>
      <c r="P14" s="15">
        <f t="shared" si="5"/>
        <v>-3.7319189971070585</v>
      </c>
      <c r="Q14" s="488">
        <f t="shared" si="6"/>
        <v>0.95770491803278668</v>
      </c>
      <c r="R14" s="616"/>
      <c r="S14" s="32">
        <v>0.55555555555555547</v>
      </c>
      <c r="T14" s="32">
        <v>0.64027777777777772</v>
      </c>
      <c r="U14" s="487">
        <f t="shared" si="14"/>
        <v>59.999999999999943</v>
      </c>
      <c r="V14" s="493">
        <f t="shared" si="13"/>
        <v>122.00000000000004</v>
      </c>
      <c r="W14" s="16"/>
      <c r="X14" s="16"/>
      <c r="Y14" s="19"/>
      <c r="Z14" s="19"/>
      <c r="AA14" s="607"/>
      <c r="AB14" s="608"/>
      <c r="AC14" s="18"/>
      <c r="AD14" s="18"/>
      <c r="AE14" s="14">
        <f t="shared" si="8"/>
        <v>-63.442622950820123</v>
      </c>
      <c r="AF14" s="488">
        <f t="shared" si="9"/>
        <v>0.95770491803278657</v>
      </c>
      <c r="AG14" s="616"/>
    </row>
    <row r="15" spans="1:33" ht="16.5" customHeight="1">
      <c r="A15" s="640" t="s">
        <v>175</v>
      </c>
      <c r="B15" s="27" t="s">
        <v>174</v>
      </c>
      <c r="C15" s="658"/>
      <c r="D15" s="658"/>
      <c r="E15" s="489"/>
      <c r="F15" s="29"/>
      <c r="G15" s="13"/>
      <c r="H15" s="494"/>
      <c r="I15" s="21">
        <v>17.399999999999999</v>
      </c>
      <c r="J15" s="29">
        <v>1500</v>
      </c>
      <c r="K15" s="12">
        <f t="shared" si="1"/>
        <v>86.206896551724142</v>
      </c>
      <c r="L15" s="21">
        <v>17.399999999999999</v>
      </c>
      <c r="M15" s="13">
        <f>AVERAGE(M10:M14)</f>
        <v>1432.6204878629187</v>
      </c>
      <c r="N15" s="12">
        <f t="shared" si="3"/>
        <v>82.334510796719471</v>
      </c>
      <c r="O15" s="14">
        <f t="shared" si="4"/>
        <v>0</v>
      </c>
      <c r="P15" s="15">
        <f t="shared" si="5"/>
        <v>-3.8723857550046716</v>
      </c>
      <c r="Q15" s="488">
        <f t="shared" si="6"/>
        <v>0.95508032524194586</v>
      </c>
      <c r="R15" s="616"/>
      <c r="S15" s="32"/>
      <c r="T15" s="32"/>
      <c r="U15" s="12"/>
      <c r="V15" s="493"/>
      <c r="W15" s="12"/>
      <c r="X15" s="12"/>
      <c r="Y15" s="22">
        <f>SUM(Y10:Y14)</f>
        <v>0</v>
      </c>
      <c r="Z15" s="22">
        <f>SUM(Z10:Z14)</f>
        <v>0</v>
      </c>
      <c r="AA15" s="611"/>
      <c r="AB15" s="611"/>
      <c r="AC15" s="22">
        <v>5</v>
      </c>
      <c r="AD15" s="22">
        <f>SUM(AD10:AD14)</f>
        <v>0</v>
      </c>
      <c r="AE15" s="14">
        <f t="shared" si="8"/>
        <v>-67.379512137081292</v>
      </c>
      <c r="AF15" s="488">
        <f t="shared" si="9"/>
        <v>0.95508032524194586</v>
      </c>
      <c r="AG15" s="616"/>
    </row>
    <row r="16" spans="1:33" ht="16.5" customHeight="1">
      <c r="A16" s="636" t="s">
        <v>178</v>
      </c>
      <c r="B16" s="494" t="s">
        <v>1134</v>
      </c>
      <c r="C16" s="659" t="s">
        <v>1035</v>
      </c>
      <c r="D16" s="659"/>
      <c r="E16" s="27">
        <v>31.11</v>
      </c>
      <c r="F16" s="494">
        <v>3247</v>
      </c>
      <c r="G16" s="487">
        <f t="shared" ref="G16:G23" si="15">E16*F16</f>
        <v>101014.17</v>
      </c>
      <c r="H16" s="31" t="s">
        <v>40</v>
      </c>
      <c r="I16" s="492">
        <v>14</v>
      </c>
      <c r="J16" s="29">
        <v>2000</v>
      </c>
      <c r="K16" s="12">
        <f t="shared" si="1"/>
        <v>142.85714285714286</v>
      </c>
      <c r="L16" s="492">
        <v>14</v>
      </c>
      <c r="M16" s="13">
        <f t="shared" ref="M16:M23" si="16">F16/V16*60</f>
        <v>1909.9999999999998</v>
      </c>
      <c r="N16" s="12">
        <f t="shared" si="3"/>
        <v>136.42857142857142</v>
      </c>
      <c r="O16" s="14">
        <f t="shared" si="4"/>
        <v>0</v>
      </c>
      <c r="P16" s="15">
        <f t="shared" si="5"/>
        <v>-6.4285714285714448</v>
      </c>
      <c r="Q16" s="488">
        <f t="shared" si="6"/>
        <v>0.95499999999999985</v>
      </c>
      <c r="R16" s="616">
        <f>Q24</f>
        <v>0.95586791285095718</v>
      </c>
      <c r="S16" s="32">
        <v>8.3333333333333329E-2</v>
      </c>
      <c r="T16" s="32">
        <v>0.15416666666666667</v>
      </c>
      <c r="U16" s="487"/>
      <c r="V16" s="493">
        <f t="shared" ref="V16:V23" si="17">(T16-S16)*24*60</f>
        <v>102.00000000000001</v>
      </c>
      <c r="W16" s="16">
        <f>T16</f>
        <v>0.15416666666666667</v>
      </c>
      <c r="X16" s="16">
        <f>S17</f>
        <v>0.17291666666666666</v>
      </c>
      <c r="Y16" s="20"/>
      <c r="Z16" s="20"/>
      <c r="AA16" s="612"/>
      <c r="AB16" s="612"/>
      <c r="AC16" s="18">
        <v>8</v>
      </c>
      <c r="AD16" s="18"/>
      <c r="AE16" s="14">
        <f t="shared" si="8"/>
        <v>-90.000000000000227</v>
      </c>
      <c r="AF16" s="488">
        <f t="shared" si="9"/>
        <v>0.95499999999999985</v>
      </c>
      <c r="AG16" s="616">
        <f>AF24</f>
        <v>0.95586791285095707</v>
      </c>
    </row>
    <row r="17" spans="1:33" ht="16.5" customHeight="1">
      <c r="A17" s="637" t="s">
        <v>178</v>
      </c>
      <c r="B17" s="494" t="s">
        <v>11</v>
      </c>
      <c r="C17" s="659" t="s">
        <v>67</v>
      </c>
      <c r="D17" s="659"/>
      <c r="E17" s="27">
        <v>38.619999999999997</v>
      </c>
      <c r="F17" s="494">
        <v>2357</v>
      </c>
      <c r="G17" s="487">
        <f t="shared" si="15"/>
        <v>91027.34</v>
      </c>
      <c r="H17" s="31" t="s">
        <v>40</v>
      </c>
      <c r="I17" s="492">
        <v>24</v>
      </c>
      <c r="J17" s="29">
        <v>1500</v>
      </c>
      <c r="K17" s="12">
        <f t="shared" si="1"/>
        <v>62.5</v>
      </c>
      <c r="L17" s="492">
        <v>24</v>
      </c>
      <c r="M17" s="13">
        <f t="shared" si="16"/>
        <v>1428.4848484848487</v>
      </c>
      <c r="N17" s="12">
        <f t="shared" si="3"/>
        <v>59.520202020202028</v>
      </c>
      <c r="O17" s="14">
        <f t="shared" si="4"/>
        <v>0</v>
      </c>
      <c r="P17" s="15">
        <f t="shared" si="5"/>
        <v>-2.9797979797979721</v>
      </c>
      <c r="Q17" s="488">
        <f t="shared" si="6"/>
        <v>0.95232323232323246</v>
      </c>
      <c r="R17" s="616"/>
      <c r="S17" s="32">
        <v>0.17291666666666666</v>
      </c>
      <c r="T17" s="32">
        <v>0.24166666666666664</v>
      </c>
      <c r="U17" s="487">
        <f t="shared" ref="U17:U23" si="18">IF(S17=TIME(17,0,0),"",(S17-T16)*24*60)</f>
        <v>26.999999999999986</v>
      </c>
      <c r="V17" s="493">
        <f t="shared" si="17"/>
        <v>98.999999999999972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-71.515151515151274</v>
      </c>
      <c r="AF17" s="488">
        <f t="shared" si="9"/>
        <v>0.95232323232323246</v>
      </c>
      <c r="AG17" s="616"/>
    </row>
    <row r="18" spans="1:33" ht="16.5" customHeight="1">
      <c r="A18" s="637" t="s">
        <v>178</v>
      </c>
      <c r="B18" s="494" t="s">
        <v>11</v>
      </c>
      <c r="C18" s="659" t="s">
        <v>12</v>
      </c>
      <c r="D18" s="659"/>
      <c r="E18" s="27">
        <v>41</v>
      </c>
      <c r="F18" s="494">
        <v>1954</v>
      </c>
      <c r="G18" s="487">
        <f t="shared" si="15"/>
        <v>80114</v>
      </c>
      <c r="H18" s="31" t="s">
        <v>40</v>
      </c>
      <c r="I18" s="492">
        <v>26</v>
      </c>
      <c r="J18" s="29">
        <v>1500</v>
      </c>
      <c r="K18" s="12">
        <f t="shared" si="1"/>
        <v>57.692307692307693</v>
      </c>
      <c r="L18" s="492">
        <v>26</v>
      </c>
      <c r="M18" s="13">
        <f t="shared" si="16"/>
        <v>1429.7560975609758</v>
      </c>
      <c r="N18" s="12">
        <f t="shared" si="3"/>
        <v>54.990619136960611</v>
      </c>
      <c r="O18" s="14">
        <f t="shared" si="4"/>
        <v>0</v>
      </c>
      <c r="P18" s="15">
        <f t="shared" si="5"/>
        <v>-2.7016885553470829</v>
      </c>
      <c r="Q18" s="488">
        <f t="shared" si="6"/>
        <v>0.95317073170731725</v>
      </c>
      <c r="R18" s="616"/>
      <c r="S18" s="32">
        <v>0.24583333333333332</v>
      </c>
      <c r="T18" s="32">
        <v>0.30277777777777776</v>
      </c>
      <c r="U18" s="487">
        <f t="shared" si="18"/>
        <v>6.0000000000000187</v>
      </c>
      <c r="V18" s="493">
        <f t="shared" si="17"/>
        <v>81.999999999999986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-70.243902439024168</v>
      </c>
      <c r="AF18" s="488">
        <f t="shared" si="9"/>
        <v>0.95317073170731725</v>
      </c>
      <c r="AG18" s="616"/>
    </row>
    <row r="19" spans="1:33" ht="16.5" customHeight="1">
      <c r="A19" s="637" t="s">
        <v>178</v>
      </c>
      <c r="B19" s="494" t="s">
        <v>5</v>
      </c>
      <c r="C19" s="659" t="s">
        <v>66</v>
      </c>
      <c r="D19" s="659"/>
      <c r="E19" s="27">
        <v>37.03</v>
      </c>
      <c r="F19" s="494">
        <v>3501</v>
      </c>
      <c r="G19" s="487">
        <f t="shared" si="15"/>
        <v>129642.03</v>
      </c>
      <c r="H19" s="31" t="s">
        <v>40</v>
      </c>
      <c r="I19" s="492">
        <v>13</v>
      </c>
      <c r="J19" s="29">
        <v>1500</v>
      </c>
      <c r="K19" s="12">
        <f t="shared" si="1"/>
        <v>115.38461538461539</v>
      </c>
      <c r="L19" s="492">
        <v>13</v>
      </c>
      <c r="M19" s="13">
        <f t="shared" si="16"/>
        <v>1428.9795918367345</v>
      </c>
      <c r="N19" s="12">
        <f t="shared" si="3"/>
        <v>109.92150706436419</v>
      </c>
      <c r="O19" s="14">
        <f t="shared" si="4"/>
        <v>0</v>
      </c>
      <c r="P19" s="15">
        <f t="shared" si="5"/>
        <v>-5.4631083202511945</v>
      </c>
      <c r="Q19" s="488">
        <f t="shared" si="6"/>
        <v>0.95265306122448967</v>
      </c>
      <c r="R19" s="616"/>
      <c r="S19" s="32">
        <v>0.30624999999999997</v>
      </c>
      <c r="T19" s="32">
        <v>0.40833333333333333</v>
      </c>
      <c r="U19" s="487">
        <f t="shared" si="18"/>
        <v>4.9999999999999822</v>
      </c>
      <c r="V19" s="493">
        <f t="shared" si="17"/>
        <v>147.00000000000003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-71.020408163265529</v>
      </c>
      <c r="AF19" s="488">
        <f t="shared" si="9"/>
        <v>0.95265306122448967</v>
      </c>
      <c r="AG19" s="616"/>
    </row>
    <row r="20" spans="1:33" ht="16.5" customHeight="1">
      <c r="A20" s="637" t="s">
        <v>178</v>
      </c>
      <c r="B20" s="494" t="s">
        <v>5</v>
      </c>
      <c r="C20" s="659" t="s">
        <v>6</v>
      </c>
      <c r="D20" s="659"/>
      <c r="E20" s="27">
        <v>50.67</v>
      </c>
      <c r="F20" s="494">
        <v>1609</v>
      </c>
      <c r="G20" s="487">
        <f t="shared" si="15"/>
        <v>81528.03</v>
      </c>
      <c r="H20" s="31" t="s">
        <v>40</v>
      </c>
      <c r="I20" s="492">
        <v>17</v>
      </c>
      <c r="J20" s="29">
        <v>2000</v>
      </c>
      <c r="K20" s="12">
        <f t="shared" si="1"/>
        <v>117.64705882352941</v>
      </c>
      <c r="L20" s="492">
        <v>17</v>
      </c>
      <c r="M20" s="13">
        <f t="shared" si="16"/>
        <v>1930.8000000000004</v>
      </c>
      <c r="N20" s="12">
        <f t="shared" si="3"/>
        <v>113.57647058823532</v>
      </c>
      <c r="O20" s="14">
        <f t="shared" si="4"/>
        <v>0</v>
      </c>
      <c r="P20" s="15">
        <f t="shared" si="5"/>
        <v>-4.0705882352940819</v>
      </c>
      <c r="Q20" s="488">
        <f t="shared" si="6"/>
        <v>0.96540000000000026</v>
      </c>
      <c r="R20" s="616"/>
      <c r="S20" s="32">
        <v>0.70833333333333337</v>
      </c>
      <c r="T20" s="32">
        <v>0.74305555555555558</v>
      </c>
      <c r="U20" s="487" t="str">
        <f t="shared" si="18"/>
        <v/>
      </c>
      <c r="V20" s="493">
        <f t="shared" si="17"/>
        <v>49.999999999999986</v>
      </c>
      <c r="W20" s="16"/>
      <c r="X20" s="16"/>
      <c r="Y20" s="16"/>
      <c r="Z20" s="16"/>
      <c r="AA20" s="612"/>
      <c r="AB20" s="612"/>
      <c r="AC20" s="18"/>
      <c r="AD20" s="18"/>
      <c r="AE20" s="14">
        <f t="shared" si="8"/>
        <v>-69.199999999999591</v>
      </c>
      <c r="AF20" s="488">
        <f t="shared" si="9"/>
        <v>0.96540000000000026</v>
      </c>
      <c r="AG20" s="616"/>
    </row>
    <row r="21" spans="1:33" ht="16.5" customHeight="1">
      <c r="A21" s="637" t="s">
        <v>178</v>
      </c>
      <c r="B21" s="494" t="s">
        <v>5</v>
      </c>
      <c r="C21" s="490" t="s">
        <v>615</v>
      </c>
      <c r="D21" s="491"/>
      <c r="E21" s="27">
        <v>54.5</v>
      </c>
      <c r="F21" s="494">
        <v>1000</v>
      </c>
      <c r="G21" s="487">
        <f t="shared" si="15"/>
        <v>54500</v>
      </c>
      <c r="H21" s="31">
        <v>2</v>
      </c>
      <c r="I21" s="492">
        <v>20</v>
      </c>
      <c r="J21" s="29">
        <v>1500</v>
      </c>
      <c r="K21" s="12">
        <f t="shared" si="1"/>
        <v>75</v>
      </c>
      <c r="L21" s="492">
        <v>20</v>
      </c>
      <c r="M21" s="13">
        <f t="shared" si="16"/>
        <v>1428.5714285714282</v>
      </c>
      <c r="N21" s="12">
        <f t="shared" si="3"/>
        <v>71.428571428571416</v>
      </c>
      <c r="O21" s="14">
        <f t="shared" si="4"/>
        <v>0</v>
      </c>
      <c r="P21" s="15">
        <f t="shared" si="5"/>
        <v>-3.5714285714285836</v>
      </c>
      <c r="Q21" s="488">
        <f t="shared" si="6"/>
        <v>0.95238095238095222</v>
      </c>
      <c r="R21" s="616"/>
      <c r="S21" s="32">
        <v>0.74652777777777779</v>
      </c>
      <c r="T21" s="32">
        <v>0.77569444444444446</v>
      </c>
      <c r="U21" s="487">
        <f t="shared" si="18"/>
        <v>4.9999999999999822</v>
      </c>
      <c r="V21" s="493">
        <f t="shared" si="17"/>
        <v>42.000000000000014</v>
      </c>
      <c r="W21" s="16"/>
      <c r="X21" s="16"/>
      <c r="Y21" s="19"/>
      <c r="Z21" s="19"/>
      <c r="AA21" s="483"/>
      <c r="AB21" s="484"/>
      <c r="AC21" s="18"/>
      <c r="AD21" s="18"/>
      <c r="AE21" s="14">
        <f t="shared" si="8"/>
        <v>-71.428571428571786</v>
      </c>
      <c r="AF21" s="488">
        <f t="shared" si="9"/>
        <v>0.95238095238095211</v>
      </c>
      <c r="AG21" s="616"/>
    </row>
    <row r="22" spans="1:33" ht="16.5" customHeight="1">
      <c r="A22" s="637" t="s">
        <v>178</v>
      </c>
      <c r="B22" s="494" t="s">
        <v>5</v>
      </c>
      <c r="C22" s="490" t="s">
        <v>18</v>
      </c>
      <c r="D22" s="491"/>
      <c r="E22" s="27">
        <v>50.49</v>
      </c>
      <c r="F22" s="494">
        <v>1938</v>
      </c>
      <c r="G22" s="487">
        <f t="shared" si="15"/>
        <v>97849.62000000001</v>
      </c>
      <c r="H22" s="31" t="s">
        <v>40</v>
      </c>
      <c r="I22" s="492">
        <v>15</v>
      </c>
      <c r="J22" s="29">
        <v>2000</v>
      </c>
      <c r="K22" s="12">
        <f t="shared" si="1"/>
        <v>133.33333333333334</v>
      </c>
      <c r="L22" s="492">
        <v>15</v>
      </c>
      <c r="M22" s="13">
        <f t="shared" si="16"/>
        <v>1906.2295081967231</v>
      </c>
      <c r="N22" s="12">
        <f t="shared" si="3"/>
        <v>127.08196721311488</v>
      </c>
      <c r="O22" s="14">
        <f t="shared" si="4"/>
        <v>0</v>
      </c>
      <c r="P22" s="15">
        <f t="shared" si="5"/>
        <v>-6.2513661202184636</v>
      </c>
      <c r="Q22" s="488">
        <f t="shared" si="6"/>
        <v>0.95311475409836155</v>
      </c>
      <c r="R22" s="616"/>
      <c r="S22" s="32">
        <v>0.77986111111111112</v>
      </c>
      <c r="T22" s="32">
        <v>0.82222222222222219</v>
      </c>
      <c r="U22" s="487">
        <f t="shared" si="18"/>
        <v>5.9999999999999787</v>
      </c>
      <c r="V22" s="493">
        <f t="shared" si="17"/>
        <v>60.999999999999943</v>
      </c>
      <c r="W22" s="16">
        <f>T22</f>
        <v>0.82222222222222219</v>
      </c>
      <c r="X22" s="16">
        <f>S23</f>
        <v>0.86249999999999993</v>
      </c>
      <c r="Y22" s="19"/>
      <c r="Z22" s="19"/>
      <c r="AA22" s="483"/>
      <c r="AB22" s="484"/>
      <c r="AC22" s="18"/>
      <c r="AD22" s="18"/>
      <c r="AE22" s="14">
        <f t="shared" si="8"/>
        <v>-93.770491803276855</v>
      </c>
      <c r="AF22" s="488">
        <f t="shared" si="9"/>
        <v>0.95311475409836155</v>
      </c>
      <c r="AG22" s="616"/>
    </row>
    <row r="23" spans="1:33" ht="16.5" customHeight="1">
      <c r="A23" s="637" t="s">
        <v>178</v>
      </c>
      <c r="B23" s="494" t="s">
        <v>5</v>
      </c>
      <c r="C23" s="490" t="s">
        <v>615</v>
      </c>
      <c r="D23" s="491"/>
      <c r="E23" s="27">
        <v>54.5</v>
      </c>
      <c r="F23" s="494">
        <v>1033</v>
      </c>
      <c r="G23" s="487">
        <f t="shared" si="15"/>
        <v>56298.5</v>
      </c>
      <c r="H23" s="31" t="s">
        <v>40</v>
      </c>
      <c r="I23" s="492">
        <v>20</v>
      </c>
      <c r="J23" s="29">
        <v>1500</v>
      </c>
      <c r="K23" s="12">
        <f t="shared" si="1"/>
        <v>75</v>
      </c>
      <c r="L23" s="492">
        <v>20</v>
      </c>
      <c r="M23" s="13">
        <f t="shared" si="16"/>
        <v>1441.395348837209</v>
      </c>
      <c r="N23" s="12">
        <f t="shared" si="3"/>
        <v>72.069767441860449</v>
      </c>
      <c r="O23" s="14">
        <f t="shared" si="4"/>
        <v>0</v>
      </c>
      <c r="P23" s="15">
        <f t="shared" si="5"/>
        <v>-2.9302325581395507</v>
      </c>
      <c r="Q23" s="488">
        <f t="shared" si="6"/>
        <v>0.96093023255813936</v>
      </c>
      <c r="R23" s="616"/>
      <c r="S23" s="32">
        <v>0.86249999999999993</v>
      </c>
      <c r="T23" s="32">
        <v>0.89236111111111105</v>
      </c>
      <c r="U23" s="487">
        <f t="shared" si="18"/>
        <v>57.999999999999957</v>
      </c>
      <c r="V23" s="493">
        <f t="shared" si="17"/>
        <v>43.000000000000007</v>
      </c>
      <c r="W23" s="16"/>
      <c r="X23" s="16"/>
      <c r="Y23" s="19"/>
      <c r="Z23" s="19"/>
      <c r="AA23" s="483"/>
      <c r="AB23" s="484"/>
      <c r="AC23" s="18"/>
      <c r="AD23" s="18"/>
      <c r="AE23" s="14">
        <f t="shared" si="8"/>
        <v>-58.604651162791015</v>
      </c>
      <c r="AF23" s="488">
        <f t="shared" si="9"/>
        <v>0.96093023255813936</v>
      </c>
      <c r="AG23" s="616"/>
    </row>
    <row r="24" spans="1:33" ht="16.5" customHeight="1">
      <c r="A24" s="637" t="s">
        <v>178</v>
      </c>
      <c r="B24" s="27" t="s">
        <v>174</v>
      </c>
      <c r="C24" s="658"/>
      <c r="D24" s="658"/>
      <c r="E24" s="489"/>
      <c r="F24" s="28"/>
      <c r="G24" s="12"/>
      <c r="H24" s="494"/>
      <c r="I24" s="21">
        <v>18.625</v>
      </c>
      <c r="J24" s="29">
        <v>1687.5</v>
      </c>
      <c r="K24" s="12">
        <f t="shared" si="1"/>
        <v>90.604026845637577</v>
      </c>
      <c r="L24" s="21">
        <v>18.625</v>
      </c>
      <c r="M24" s="13">
        <f>AVERAGE(M16:M23)</f>
        <v>1613.0271029359901</v>
      </c>
      <c r="N24" s="12">
        <f t="shared" si="3"/>
        <v>86.605482036831688</v>
      </c>
      <c r="O24" s="14">
        <f t="shared" si="4"/>
        <v>0</v>
      </c>
      <c r="P24" s="15">
        <f t="shared" si="5"/>
        <v>-3.9985448088058888</v>
      </c>
      <c r="Q24" s="488">
        <f t="shared" si="6"/>
        <v>0.95586791285095718</v>
      </c>
      <c r="R24" s="616"/>
      <c r="S24" s="32"/>
      <c r="T24" s="32"/>
      <c r="U24" s="487"/>
      <c r="V24" s="493"/>
      <c r="W24" s="12"/>
      <c r="X24" s="12"/>
      <c r="Y24" s="22">
        <f>SUM(Y16:Y23)</f>
        <v>0</v>
      </c>
      <c r="Z24" s="22">
        <f>SUM(Z16:Z23)</f>
        <v>0</v>
      </c>
      <c r="AA24" s="611"/>
      <c r="AB24" s="611"/>
      <c r="AC24" s="22">
        <v>8</v>
      </c>
      <c r="AD24" s="22">
        <f>SUM(AD16:AD23)</f>
        <v>0</v>
      </c>
      <c r="AE24" s="14">
        <f t="shared" si="8"/>
        <v>-74.472897064009885</v>
      </c>
      <c r="AF24" s="488">
        <f t="shared" si="9"/>
        <v>0.95586791285095707</v>
      </c>
      <c r="AG24" s="616"/>
    </row>
    <row r="25" spans="1:33" ht="15.75" customHeight="1">
      <c r="A25" s="634" t="s">
        <v>179</v>
      </c>
      <c r="B25" s="27" t="s">
        <v>5</v>
      </c>
      <c r="C25" s="659" t="s">
        <v>16</v>
      </c>
      <c r="D25" s="659"/>
      <c r="E25" s="27">
        <v>50.67</v>
      </c>
      <c r="F25" s="494">
        <v>1931</v>
      </c>
      <c r="G25" s="487">
        <f t="shared" ref="G25:G31" si="19">E25*F25</f>
        <v>97843.77</v>
      </c>
      <c r="H25" s="31" t="s">
        <v>40</v>
      </c>
      <c r="I25" s="492">
        <v>17</v>
      </c>
      <c r="J25" s="29">
        <v>2000</v>
      </c>
      <c r="K25" s="12">
        <f t="shared" si="1"/>
        <v>117.64705882352941</v>
      </c>
      <c r="L25" s="492">
        <v>17</v>
      </c>
      <c r="M25" s="13">
        <f t="shared" ref="M25:M31" si="20">F25/V25*60</f>
        <v>1931.0000000000007</v>
      </c>
      <c r="N25" s="12">
        <f t="shared" si="3"/>
        <v>113.58823529411768</v>
      </c>
      <c r="O25" s="14">
        <f t="shared" si="4"/>
        <v>0</v>
      </c>
      <c r="P25" s="15">
        <f t="shared" si="5"/>
        <v>-4.0588235294117254</v>
      </c>
      <c r="Q25" s="488">
        <f t="shared" si="6"/>
        <v>0.96550000000000036</v>
      </c>
      <c r="R25" s="616">
        <f>Q32</f>
        <v>0.96178066275746277</v>
      </c>
      <c r="S25" s="32">
        <v>0.20833333333333334</v>
      </c>
      <c r="T25" s="32">
        <v>0.25</v>
      </c>
      <c r="U25" s="487"/>
      <c r="V25" s="493">
        <f t="shared" ref="V25:V31" si="21">(T25-S25)*24*60</f>
        <v>59.999999999999986</v>
      </c>
      <c r="W25" s="16"/>
      <c r="X25" s="16"/>
      <c r="Y25" s="20"/>
      <c r="Z25" s="20"/>
      <c r="AA25" s="612"/>
      <c r="AB25" s="612"/>
      <c r="AC25" s="18">
        <v>7</v>
      </c>
      <c r="AD25" s="18"/>
      <c r="AE25" s="14">
        <f t="shared" si="8"/>
        <v>-68.999999999999318</v>
      </c>
      <c r="AF25" s="488">
        <f t="shared" si="9"/>
        <v>0.96550000000000036</v>
      </c>
      <c r="AG25" s="616">
        <f>AF32</f>
        <v>0.96178066275746277</v>
      </c>
    </row>
    <row r="26" spans="1:33" ht="15.75" customHeight="1">
      <c r="A26" s="635" t="s">
        <v>179</v>
      </c>
      <c r="B26" s="27" t="s">
        <v>5</v>
      </c>
      <c r="C26" s="659" t="s">
        <v>17</v>
      </c>
      <c r="D26" s="659"/>
      <c r="E26" s="27">
        <v>57.73</v>
      </c>
      <c r="F26" s="494">
        <v>2575</v>
      </c>
      <c r="G26" s="487">
        <f t="shared" si="19"/>
        <v>148654.75</v>
      </c>
      <c r="H26" s="31" t="s">
        <v>40</v>
      </c>
      <c r="I26" s="492">
        <v>14</v>
      </c>
      <c r="J26" s="29">
        <v>2000</v>
      </c>
      <c r="K26" s="12">
        <f t="shared" si="1"/>
        <v>142.85714285714286</v>
      </c>
      <c r="L26" s="492">
        <v>14</v>
      </c>
      <c r="M26" s="13">
        <f t="shared" si="20"/>
        <v>1907.4074074074067</v>
      </c>
      <c r="N26" s="12">
        <f t="shared" si="3"/>
        <v>136.2433862433862</v>
      </c>
      <c r="O26" s="14">
        <f t="shared" si="4"/>
        <v>0</v>
      </c>
      <c r="P26" s="15">
        <f t="shared" si="5"/>
        <v>-6.6137566137566637</v>
      </c>
      <c r="Q26" s="488">
        <f t="shared" si="6"/>
        <v>0.95370370370370339</v>
      </c>
      <c r="R26" s="616"/>
      <c r="S26" s="32">
        <v>0.25486111111111109</v>
      </c>
      <c r="T26" s="32">
        <v>0.31111111111111112</v>
      </c>
      <c r="U26" s="487">
        <f t="shared" ref="U26:U31" si="22">IF(S26=TIME(17,0,0),"",(S26-T25)*24*60)</f>
        <v>6.9999999999999751</v>
      </c>
      <c r="V26" s="493">
        <f t="shared" si="21"/>
        <v>81.000000000000028</v>
      </c>
      <c r="W26" s="16"/>
      <c r="X26" s="487"/>
      <c r="Y26" s="487"/>
      <c r="Z26" s="487"/>
      <c r="AA26" s="612"/>
      <c r="AB26" s="612"/>
      <c r="AC26" s="18"/>
      <c r="AD26" s="18"/>
      <c r="AE26" s="14">
        <f t="shared" si="8"/>
        <v>-92.592592592593292</v>
      </c>
      <c r="AF26" s="488">
        <f t="shared" si="9"/>
        <v>0.95370370370370339</v>
      </c>
      <c r="AG26" s="616"/>
    </row>
    <row r="27" spans="1:33" ht="15.75" customHeight="1">
      <c r="A27" s="635" t="s">
        <v>179</v>
      </c>
      <c r="B27" s="27" t="s">
        <v>5</v>
      </c>
      <c r="C27" s="659" t="s">
        <v>60</v>
      </c>
      <c r="D27" s="659"/>
      <c r="E27" s="27">
        <v>53.27</v>
      </c>
      <c r="F27" s="494">
        <v>1625</v>
      </c>
      <c r="G27" s="487">
        <f t="shared" si="19"/>
        <v>86563.75</v>
      </c>
      <c r="H27" s="31" t="s">
        <v>40</v>
      </c>
      <c r="I27" s="492">
        <v>16</v>
      </c>
      <c r="J27" s="29">
        <v>2000</v>
      </c>
      <c r="K27" s="12">
        <f t="shared" si="1"/>
        <v>125</v>
      </c>
      <c r="L27" s="492">
        <v>16</v>
      </c>
      <c r="M27" s="13">
        <f t="shared" si="20"/>
        <v>1911.7647058823538</v>
      </c>
      <c r="N27" s="12">
        <f t="shared" si="3"/>
        <v>119.48529411764711</v>
      </c>
      <c r="O27" s="14">
        <f t="shared" si="4"/>
        <v>0</v>
      </c>
      <c r="P27" s="15">
        <f t="shared" si="5"/>
        <v>-5.5147058823528852</v>
      </c>
      <c r="Q27" s="488">
        <f t="shared" si="6"/>
        <v>0.95588235294117696</v>
      </c>
      <c r="R27" s="616"/>
      <c r="S27" s="32">
        <v>0.31666666666666665</v>
      </c>
      <c r="T27" s="32">
        <v>0.3520833333333333</v>
      </c>
      <c r="U27" s="487">
        <f t="shared" si="22"/>
        <v>7.9999999999999716</v>
      </c>
      <c r="V27" s="493">
        <f t="shared" si="21"/>
        <v>50.999999999999979</v>
      </c>
      <c r="W27" s="16"/>
      <c r="X27" s="487"/>
      <c r="Y27" s="487"/>
      <c r="Z27" s="487"/>
      <c r="AA27" s="612"/>
      <c r="AB27" s="612"/>
      <c r="AC27" s="18"/>
      <c r="AD27" s="18"/>
      <c r="AE27" s="14">
        <f t="shared" si="8"/>
        <v>-88.235294117646163</v>
      </c>
      <c r="AF27" s="488">
        <f t="shared" si="9"/>
        <v>0.95588235294117696</v>
      </c>
      <c r="AG27" s="616"/>
    </row>
    <row r="28" spans="1:33" ht="15.75" customHeight="1">
      <c r="A28" s="635" t="s">
        <v>179</v>
      </c>
      <c r="B28" s="27" t="s">
        <v>5</v>
      </c>
      <c r="C28" s="659" t="s">
        <v>65</v>
      </c>
      <c r="D28" s="659"/>
      <c r="E28" s="27">
        <v>56.43</v>
      </c>
      <c r="F28" s="494">
        <v>1612</v>
      </c>
      <c r="G28" s="487">
        <f t="shared" si="19"/>
        <v>90965.16</v>
      </c>
      <c r="H28" s="31" t="s">
        <v>40</v>
      </c>
      <c r="I28" s="492">
        <v>13</v>
      </c>
      <c r="J28" s="29">
        <v>2000</v>
      </c>
      <c r="K28" s="12">
        <f t="shared" si="1"/>
        <v>153.84615384615384</v>
      </c>
      <c r="L28" s="492">
        <v>13</v>
      </c>
      <c r="M28" s="13">
        <f t="shared" si="20"/>
        <v>1934.4000000000005</v>
      </c>
      <c r="N28" s="12">
        <f t="shared" si="3"/>
        <v>148.80000000000004</v>
      </c>
      <c r="O28" s="14">
        <f t="shared" si="4"/>
        <v>0</v>
      </c>
      <c r="P28" s="15">
        <f t="shared" si="5"/>
        <v>-5.0461538461537998</v>
      </c>
      <c r="Q28" s="488">
        <f t="shared" si="6"/>
        <v>0.96720000000000028</v>
      </c>
      <c r="R28" s="616"/>
      <c r="S28" s="32">
        <v>0.70833333333333337</v>
      </c>
      <c r="T28" s="32">
        <v>0.74305555555555558</v>
      </c>
      <c r="U28" s="487" t="str">
        <f t="shared" si="22"/>
        <v/>
      </c>
      <c r="V28" s="493">
        <f t="shared" si="21"/>
        <v>49.999999999999986</v>
      </c>
      <c r="W28" s="16"/>
      <c r="X28" s="487"/>
      <c r="Y28" s="487"/>
      <c r="Z28" s="487"/>
      <c r="AA28" s="612"/>
      <c r="AB28" s="612"/>
      <c r="AC28" s="18"/>
      <c r="AD28" s="18"/>
      <c r="AE28" s="14">
        <f t="shared" si="8"/>
        <v>-65.599999999999454</v>
      </c>
      <c r="AF28" s="488">
        <f t="shared" si="9"/>
        <v>0.96720000000000028</v>
      </c>
      <c r="AG28" s="616"/>
    </row>
    <row r="29" spans="1:33" ht="15.75" customHeight="1">
      <c r="A29" s="635" t="s">
        <v>179</v>
      </c>
      <c r="B29" s="27" t="s">
        <v>5</v>
      </c>
      <c r="C29" s="659" t="s">
        <v>1322</v>
      </c>
      <c r="D29" s="659"/>
      <c r="E29" s="27">
        <v>54.09</v>
      </c>
      <c r="F29" s="494">
        <v>2600</v>
      </c>
      <c r="G29" s="487">
        <f t="shared" si="19"/>
        <v>140634</v>
      </c>
      <c r="H29" s="31" t="s">
        <v>40</v>
      </c>
      <c r="I29" s="492">
        <v>18</v>
      </c>
      <c r="J29" s="29">
        <v>2000</v>
      </c>
      <c r="K29" s="12">
        <f t="shared" si="1"/>
        <v>111.11111111111111</v>
      </c>
      <c r="L29" s="492">
        <v>18</v>
      </c>
      <c r="M29" s="13">
        <f t="shared" si="20"/>
        <v>1925.9259259259252</v>
      </c>
      <c r="N29" s="12">
        <f t="shared" si="3"/>
        <v>106.99588477366251</v>
      </c>
      <c r="O29" s="14">
        <f t="shared" si="4"/>
        <v>0</v>
      </c>
      <c r="P29" s="15">
        <f t="shared" si="5"/>
        <v>-4.115226337448604</v>
      </c>
      <c r="Q29" s="488">
        <f t="shared" si="6"/>
        <v>0.96296296296296258</v>
      </c>
      <c r="R29" s="616"/>
      <c r="S29" s="32">
        <v>0.74791666666666667</v>
      </c>
      <c r="T29" s="32">
        <v>0.8041666666666667</v>
      </c>
      <c r="U29" s="487">
        <f t="shared" si="22"/>
        <v>6.9999999999999751</v>
      </c>
      <c r="V29" s="493">
        <f t="shared" si="21"/>
        <v>81.000000000000028</v>
      </c>
      <c r="W29" s="16"/>
      <c r="X29" s="16"/>
      <c r="Y29" s="487"/>
      <c r="Z29" s="487"/>
      <c r="AA29" s="612"/>
      <c r="AB29" s="612"/>
      <c r="AC29" s="18"/>
      <c r="AD29" s="18"/>
      <c r="AE29" s="14">
        <f t="shared" si="8"/>
        <v>-74.074074074074815</v>
      </c>
      <c r="AF29" s="488">
        <f t="shared" si="9"/>
        <v>0.96296296296296258</v>
      </c>
      <c r="AG29" s="616"/>
    </row>
    <row r="30" spans="1:33" ht="15.75" customHeight="1">
      <c r="A30" s="635" t="s">
        <v>179</v>
      </c>
      <c r="B30" s="27" t="s">
        <v>5</v>
      </c>
      <c r="C30" s="659" t="s">
        <v>1930</v>
      </c>
      <c r="D30" s="659"/>
      <c r="E30" s="27">
        <v>57.3</v>
      </c>
      <c r="F30" s="494">
        <v>1000</v>
      </c>
      <c r="G30" s="487">
        <f t="shared" si="19"/>
        <v>57300</v>
      </c>
      <c r="H30" s="31">
        <v>2</v>
      </c>
      <c r="I30" s="492">
        <v>16</v>
      </c>
      <c r="J30" s="29">
        <v>2000</v>
      </c>
      <c r="K30" s="12">
        <f t="shared" si="1"/>
        <v>125</v>
      </c>
      <c r="L30" s="492">
        <v>16</v>
      </c>
      <c r="M30" s="13">
        <f t="shared" si="20"/>
        <v>1935.483870967739</v>
      </c>
      <c r="N30" s="12">
        <f t="shared" si="3"/>
        <v>120.96774193548369</v>
      </c>
      <c r="O30" s="14">
        <f t="shared" si="4"/>
        <v>0</v>
      </c>
      <c r="P30" s="15">
        <f t="shared" si="5"/>
        <v>-4.0322580645163129</v>
      </c>
      <c r="Q30" s="488">
        <f t="shared" si="6"/>
        <v>0.96774193548386944</v>
      </c>
      <c r="R30" s="616"/>
      <c r="S30" s="32">
        <v>0.80902777777777779</v>
      </c>
      <c r="T30" s="32">
        <v>0.8305555555555556</v>
      </c>
      <c r="U30" s="487">
        <f t="shared" si="22"/>
        <v>6.9999999999999751</v>
      </c>
      <c r="V30" s="493">
        <f t="shared" si="21"/>
        <v>31.00000000000005</v>
      </c>
      <c r="W30" s="16">
        <f>T30</f>
        <v>0.8305555555555556</v>
      </c>
      <c r="X30" s="16">
        <f>S31</f>
        <v>0.86875000000000002</v>
      </c>
      <c r="Y30" s="20"/>
      <c r="Z30" s="20"/>
      <c r="AA30" s="612"/>
      <c r="AB30" s="612"/>
      <c r="AC30" s="18"/>
      <c r="AD30" s="18"/>
      <c r="AE30" s="14">
        <f t="shared" si="8"/>
        <v>-64.516129032261006</v>
      </c>
      <c r="AF30" s="488">
        <f t="shared" si="9"/>
        <v>0.96774193548386944</v>
      </c>
      <c r="AG30" s="616"/>
    </row>
    <row r="31" spans="1:33" ht="15.75" customHeight="1">
      <c r="A31" s="635" t="s">
        <v>179</v>
      </c>
      <c r="B31" s="27" t="s">
        <v>5</v>
      </c>
      <c r="C31" s="631" t="s">
        <v>1930</v>
      </c>
      <c r="D31" s="632"/>
      <c r="E31" s="27">
        <v>57.3</v>
      </c>
      <c r="F31" s="494">
        <v>1823</v>
      </c>
      <c r="G31" s="487">
        <f t="shared" si="19"/>
        <v>104457.9</v>
      </c>
      <c r="H31" s="31" t="s">
        <v>40</v>
      </c>
      <c r="I31" s="492">
        <v>16</v>
      </c>
      <c r="J31" s="29">
        <v>2000</v>
      </c>
      <c r="K31" s="12">
        <f t="shared" si="1"/>
        <v>125</v>
      </c>
      <c r="L31" s="492">
        <v>16</v>
      </c>
      <c r="M31" s="13">
        <f t="shared" si="20"/>
        <v>1918.9473684210541</v>
      </c>
      <c r="N31" s="12">
        <f t="shared" si="3"/>
        <v>119.93421052631588</v>
      </c>
      <c r="O31" s="14">
        <f t="shared" si="4"/>
        <v>0</v>
      </c>
      <c r="P31" s="15">
        <f t="shared" si="5"/>
        <v>-5.06578947368412</v>
      </c>
      <c r="Q31" s="488">
        <f t="shared" si="6"/>
        <v>0.95947368421052703</v>
      </c>
      <c r="R31" s="616"/>
      <c r="S31" s="32">
        <v>0.86875000000000002</v>
      </c>
      <c r="T31" s="32">
        <v>0.90833333333333333</v>
      </c>
      <c r="U31" s="487">
        <f t="shared" si="22"/>
        <v>54.999999999999964</v>
      </c>
      <c r="V31" s="493">
        <f t="shared" si="21"/>
        <v>56.999999999999957</v>
      </c>
      <c r="W31" s="16"/>
      <c r="X31" s="20"/>
      <c r="Y31" s="270"/>
      <c r="Z31" s="270"/>
      <c r="AA31" s="607"/>
      <c r="AB31" s="608"/>
      <c r="AC31" s="18"/>
      <c r="AD31" s="18"/>
      <c r="AE31" s="14">
        <f t="shared" si="8"/>
        <v>-81.05263157894592</v>
      </c>
      <c r="AF31" s="488">
        <f t="shared" si="9"/>
        <v>0.95947368421052703</v>
      </c>
      <c r="AG31" s="616"/>
    </row>
    <row r="32" spans="1:33" ht="15.75" customHeight="1">
      <c r="A32" s="635" t="s">
        <v>179</v>
      </c>
      <c r="B32" s="27" t="s">
        <v>174</v>
      </c>
      <c r="C32" s="658"/>
      <c r="D32" s="658"/>
      <c r="E32" s="489"/>
      <c r="F32" s="494"/>
      <c r="G32" s="487"/>
      <c r="H32" s="494"/>
      <c r="I32" s="21">
        <v>15.714285714285714</v>
      </c>
      <c r="J32" s="29">
        <v>2000</v>
      </c>
      <c r="K32" s="12">
        <f t="shared" si="1"/>
        <v>127.27272727272728</v>
      </c>
      <c r="L32" s="21">
        <v>15.714285714285714</v>
      </c>
      <c r="M32" s="13">
        <f>AVERAGE(M25:M31)</f>
        <v>1923.5613255149256</v>
      </c>
      <c r="N32" s="12">
        <f t="shared" si="3"/>
        <v>122.40844798731345</v>
      </c>
      <c r="O32" s="14">
        <f t="shared" si="4"/>
        <v>0</v>
      </c>
      <c r="P32" s="15">
        <f t="shared" si="5"/>
        <v>-4.8642792854138293</v>
      </c>
      <c r="Q32" s="488">
        <f t="shared" si="6"/>
        <v>0.96178066275746277</v>
      </c>
      <c r="R32" s="616"/>
      <c r="S32" s="32"/>
      <c r="T32" s="32"/>
      <c r="U32" s="12"/>
      <c r="V32" s="493"/>
      <c r="W32" s="12"/>
      <c r="X32" s="12"/>
      <c r="Y32" s="22">
        <f>SUM(Y25:Y31)</f>
        <v>0</v>
      </c>
      <c r="Z32" s="22">
        <f>SUM(Z25:Z31)</f>
        <v>0</v>
      </c>
      <c r="AA32" s="611"/>
      <c r="AB32" s="611"/>
      <c r="AC32" s="22">
        <v>7</v>
      </c>
      <c r="AD32" s="22">
        <f>SUM(AD25:AD31)</f>
        <v>0</v>
      </c>
      <c r="AE32" s="14">
        <f t="shared" si="8"/>
        <v>-76.438674485074444</v>
      </c>
      <c r="AF32" s="488">
        <f t="shared" si="9"/>
        <v>0.96178066275746277</v>
      </c>
      <c r="AG32" s="616"/>
    </row>
    <row r="33" spans="1:33" ht="15.75" customHeight="1">
      <c r="A33" s="633" t="s">
        <v>180</v>
      </c>
      <c r="B33" s="27" t="s">
        <v>20</v>
      </c>
      <c r="C33" s="659" t="s">
        <v>21</v>
      </c>
      <c r="D33" s="659"/>
      <c r="E33" s="27">
        <v>31.29</v>
      </c>
      <c r="F33" s="494">
        <v>5800</v>
      </c>
      <c r="G33" s="487">
        <f t="shared" ref="G33:G41" si="23">E33*F33</f>
        <v>181482</v>
      </c>
      <c r="H33" s="31">
        <v>2</v>
      </c>
      <c r="I33" s="492">
        <v>18</v>
      </c>
      <c r="J33" s="29">
        <v>2400</v>
      </c>
      <c r="K33" s="12">
        <f t="shared" si="1"/>
        <v>133.33333333333334</v>
      </c>
      <c r="L33" s="492">
        <v>18</v>
      </c>
      <c r="M33" s="13">
        <f t="shared" ref="M33:M41" si="24">F33/V33*60</f>
        <v>2289.4736842105262</v>
      </c>
      <c r="N33" s="12">
        <f t="shared" si="3"/>
        <v>127.19298245614034</v>
      </c>
      <c r="O33" s="14">
        <f t="shared" si="4"/>
        <v>0</v>
      </c>
      <c r="P33" s="15">
        <f t="shared" si="5"/>
        <v>-6.1403508771930007</v>
      </c>
      <c r="Q33" s="488">
        <f t="shared" si="6"/>
        <v>0.95394736842105254</v>
      </c>
      <c r="R33" s="616">
        <f>Q42</f>
        <v>0.95719857768035044</v>
      </c>
      <c r="S33" s="32">
        <v>8.3333333333333329E-2</v>
      </c>
      <c r="T33" s="32">
        <v>0.18888888888888888</v>
      </c>
      <c r="U33" s="487"/>
      <c r="V33" s="493">
        <f t="shared" ref="V33:V41" si="25">(T33-S33)*24*60</f>
        <v>152</v>
      </c>
      <c r="W33" s="16">
        <f>T33</f>
        <v>0.18888888888888888</v>
      </c>
      <c r="X33" s="16">
        <f>S34</f>
        <v>0.20833333333333331</v>
      </c>
      <c r="Y33" s="16"/>
      <c r="Z33" s="16"/>
      <c r="AA33" s="612"/>
      <c r="AB33" s="612"/>
      <c r="AC33" s="18">
        <v>9</v>
      </c>
      <c r="AD33" s="18"/>
      <c r="AE33" s="14">
        <f t="shared" si="8"/>
        <v>-110.52631578947376</v>
      </c>
      <c r="AF33" s="488">
        <f t="shared" si="9"/>
        <v>0.95394736842105265</v>
      </c>
      <c r="AG33" s="616">
        <f>AF42</f>
        <v>0.95719857768035055</v>
      </c>
    </row>
    <row r="34" spans="1:33" ht="15.75" customHeight="1">
      <c r="A34" s="633" t="s">
        <v>180</v>
      </c>
      <c r="B34" s="27" t="s">
        <v>20</v>
      </c>
      <c r="C34" s="659" t="s">
        <v>22</v>
      </c>
      <c r="D34" s="659"/>
      <c r="E34" s="27">
        <v>26.37</v>
      </c>
      <c r="F34" s="494">
        <v>3800</v>
      </c>
      <c r="G34" s="487">
        <f t="shared" si="23"/>
        <v>100206</v>
      </c>
      <c r="H34" s="31">
        <v>2</v>
      </c>
      <c r="I34" s="492">
        <v>18</v>
      </c>
      <c r="J34" s="29">
        <v>2400</v>
      </c>
      <c r="K34" s="12">
        <f t="shared" si="1"/>
        <v>133.33333333333334</v>
      </c>
      <c r="L34" s="492">
        <v>18</v>
      </c>
      <c r="M34" s="13">
        <f t="shared" si="24"/>
        <v>2303.0303030303039</v>
      </c>
      <c r="N34" s="12">
        <f t="shared" si="3"/>
        <v>127.946127946128</v>
      </c>
      <c r="O34" s="14">
        <f t="shared" si="4"/>
        <v>0</v>
      </c>
      <c r="P34" s="15">
        <f t="shared" si="5"/>
        <v>-5.3872053872053414</v>
      </c>
      <c r="Q34" s="488">
        <f t="shared" si="6"/>
        <v>0.95959595959595989</v>
      </c>
      <c r="R34" s="616"/>
      <c r="S34" s="32">
        <v>0.20833333333333331</v>
      </c>
      <c r="T34" s="32">
        <v>0.27708333333333329</v>
      </c>
      <c r="U34" s="487">
        <f t="shared" ref="U34:U41" si="26">(S34-T33)*24*60</f>
        <v>27.999999999999979</v>
      </c>
      <c r="V34" s="493">
        <f t="shared" si="25"/>
        <v>98.999999999999972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-96.969696969696088</v>
      </c>
      <c r="AF34" s="488">
        <f t="shared" si="9"/>
        <v>0.95959595959596</v>
      </c>
      <c r="AG34" s="616"/>
    </row>
    <row r="35" spans="1:33" ht="15.75" customHeight="1">
      <c r="A35" s="633" t="s">
        <v>180</v>
      </c>
      <c r="B35" s="27" t="s">
        <v>20</v>
      </c>
      <c r="C35" s="659" t="s">
        <v>57</v>
      </c>
      <c r="D35" s="659"/>
      <c r="E35" s="27">
        <v>26.18</v>
      </c>
      <c r="F35" s="494">
        <v>5000</v>
      </c>
      <c r="G35" s="487">
        <f t="shared" si="23"/>
        <v>130900</v>
      </c>
      <c r="H35" s="31">
        <v>2</v>
      </c>
      <c r="I35" s="492">
        <v>18</v>
      </c>
      <c r="J35" s="29">
        <v>2400</v>
      </c>
      <c r="K35" s="12">
        <f t="shared" si="1"/>
        <v>133.33333333333334</v>
      </c>
      <c r="L35" s="492">
        <v>18</v>
      </c>
      <c r="M35" s="13">
        <f t="shared" si="24"/>
        <v>2290.0763358778627</v>
      </c>
      <c r="N35" s="12">
        <f t="shared" si="3"/>
        <v>127.2264631043257</v>
      </c>
      <c r="O35" s="14">
        <f t="shared" si="4"/>
        <v>0</v>
      </c>
      <c r="P35" s="15">
        <f t="shared" si="5"/>
        <v>-6.1068702290076402</v>
      </c>
      <c r="Q35" s="488">
        <f t="shared" si="6"/>
        <v>0.95419847328244267</v>
      </c>
      <c r="R35" s="616"/>
      <c r="S35" s="32">
        <v>0.28194444444444439</v>
      </c>
      <c r="T35" s="32">
        <v>0.37291666666666662</v>
      </c>
      <c r="U35" s="487">
        <f t="shared" si="26"/>
        <v>6.9999999999999751</v>
      </c>
      <c r="V35" s="493">
        <f t="shared" si="25"/>
        <v>131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-109.92366412213732</v>
      </c>
      <c r="AF35" s="488">
        <f t="shared" si="9"/>
        <v>0.95419847328244278</v>
      </c>
      <c r="AG35" s="616"/>
    </row>
    <row r="36" spans="1:33" ht="15.75" customHeight="1">
      <c r="A36" s="633" t="s">
        <v>180</v>
      </c>
      <c r="B36" s="27" t="s">
        <v>20</v>
      </c>
      <c r="C36" s="659" t="s">
        <v>59</v>
      </c>
      <c r="D36" s="659"/>
      <c r="E36" s="27">
        <v>25.99</v>
      </c>
      <c r="F36" s="494">
        <v>1349</v>
      </c>
      <c r="G36" s="487">
        <f t="shared" si="23"/>
        <v>35060.509999999995</v>
      </c>
      <c r="H36" s="31" t="s">
        <v>40</v>
      </c>
      <c r="I36" s="492">
        <v>18</v>
      </c>
      <c r="J36" s="29">
        <v>2400</v>
      </c>
      <c r="K36" s="12">
        <f t="shared" si="1"/>
        <v>133.33333333333334</v>
      </c>
      <c r="L36" s="492">
        <v>18</v>
      </c>
      <c r="M36" s="13">
        <f t="shared" si="24"/>
        <v>2312.5714285714262</v>
      </c>
      <c r="N36" s="12">
        <f t="shared" si="3"/>
        <v>128.47619047619034</v>
      </c>
      <c r="O36" s="14">
        <f t="shared" si="4"/>
        <v>0</v>
      </c>
      <c r="P36" s="15">
        <f t="shared" si="5"/>
        <v>-4.8571428571430033</v>
      </c>
      <c r="Q36" s="488">
        <f t="shared" si="6"/>
        <v>0.96357142857142752</v>
      </c>
      <c r="R36" s="616"/>
      <c r="S36" s="32">
        <v>0.37638888888888883</v>
      </c>
      <c r="T36" s="32">
        <v>0.40069444444444441</v>
      </c>
      <c r="U36" s="487">
        <f t="shared" si="26"/>
        <v>4.9999999999999822</v>
      </c>
      <c r="V36" s="493">
        <f t="shared" si="25"/>
        <v>35.000000000000036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-87.428571428573832</v>
      </c>
      <c r="AF36" s="488">
        <f t="shared" si="9"/>
        <v>0.96357142857142752</v>
      </c>
      <c r="AG36" s="616"/>
    </row>
    <row r="37" spans="1:33" ht="15.75" customHeight="1">
      <c r="A37" s="633" t="s">
        <v>180</v>
      </c>
      <c r="B37" s="27" t="s">
        <v>20</v>
      </c>
      <c r="C37" s="659" t="s">
        <v>23</v>
      </c>
      <c r="D37" s="659"/>
      <c r="E37" s="27">
        <v>25.99</v>
      </c>
      <c r="F37" s="494">
        <v>4036</v>
      </c>
      <c r="G37" s="487">
        <f t="shared" si="23"/>
        <v>104895.64</v>
      </c>
      <c r="H37" s="31" t="s">
        <v>40</v>
      </c>
      <c r="I37" s="492">
        <v>14</v>
      </c>
      <c r="J37" s="29">
        <v>2400</v>
      </c>
      <c r="K37" s="12">
        <f t="shared" si="1"/>
        <v>171.42857142857142</v>
      </c>
      <c r="L37" s="492">
        <v>14</v>
      </c>
      <c r="M37" s="13">
        <f t="shared" si="24"/>
        <v>2284.5283018867917</v>
      </c>
      <c r="N37" s="12">
        <f t="shared" si="3"/>
        <v>163.1805929919137</v>
      </c>
      <c r="O37" s="14">
        <f t="shared" si="4"/>
        <v>0</v>
      </c>
      <c r="P37" s="15">
        <f t="shared" si="5"/>
        <v>-8.2479784366577178</v>
      </c>
      <c r="Q37" s="488">
        <f t="shared" si="6"/>
        <v>0.95188679245282992</v>
      </c>
      <c r="R37" s="616"/>
      <c r="S37" s="32">
        <v>0.40486111111111106</v>
      </c>
      <c r="T37" s="32">
        <v>0.47847222222222219</v>
      </c>
      <c r="U37" s="487">
        <f t="shared" si="26"/>
        <v>5.9999999999999787</v>
      </c>
      <c r="V37" s="493">
        <f t="shared" si="25"/>
        <v>106.00000000000003</v>
      </c>
      <c r="W37" s="16">
        <f>T37</f>
        <v>0.47847222222222219</v>
      </c>
      <c r="X37" s="16">
        <f>S38</f>
        <v>0.51736111111111105</v>
      </c>
      <c r="Y37" s="16"/>
      <c r="Z37" s="16"/>
      <c r="AA37" s="612"/>
      <c r="AB37" s="612"/>
      <c r="AC37" s="18"/>
      <c r="AD37" s="18"/>
      <c r="AE37" s="14">
        <f t="shared" si="8"/>
        <v>-115.47169811320828</v>
      </c>
      <c r="AF37" s="488">
        <f t="shared" si="9"/>
        <v>0.95188679245282992</v>
      </c>
      <c r="AG37" s="616"/>
    </row>
    <row r="38" spans="1:33" ht="15.75" customHeight="1">
      <c r="A38" s="633" t="s">
        <v>180</v>
      </c>
      <c r="B38" s="27" t="s">
        <v>20</v>
      </c>
      <c r="C38" s="659" t="s">
        <v>21</v>
      </c>
      <c r="D38" s="659"/>
      <c r="E38" s="27">
        <v>31.29</v>
      </c>
      <c r="F38" s="494">
        <v>4133</v>
      </c>
      <c r="G38" s="487">
        <f t="shared" si="23"/>
        <v>129321.56999999999</v>
      </c>
      <c r="H38" s="31" t="s">
        <v>40</v>
      </c>
      <c r="I38" s="492">
        <v>18</v>
      </c>
      <c r="J38" s="29">
        <v>2400</v>
      </c>
      <c r="K38" s="12">
        <f t="shared" si="1"/>
        <v>133.33333333333334</v>
      </c>
      <c r="L38" s="492">
        <v>18</v>
      </c>
      <c r="M38" s="13">
        <f t="shared" si="24"/>
        <v>2296.1111111111122</v>
      </c>
      <c r="N38" s="12">
        <f t="shared" si="3"/>
        <v>127.56172839506179</v>
      </c>
      <c r="O38" s="14">
        <f t="shared" si="4"/>
        <v>0</v>
      </c>
      <c r="P38" s="15">
        <f t="shared" si="5"/>
        <v>-5.7716049382715511</v>
      </c>
      <c r="Q38" s="488">
        <f t="shared" si="6"/>
        <v>0.95671296296296338</v>
      </c>
      <c r="R38" s="616"/>
      <c r="S38" s="32">
        <v>0.51736111111111105</v>
      </c>
      <c r="T38" s="32">
        <v>0.59236111111111101</v>
      </c>
      <c r="U38" s="487">
        <f t="shared" si="26"/>
        <v>55.999999999999957</v>
      </c>
      <c r="V38" s="493">
        <f t="shared" si="25"/>
        <v>107.99999999999994</v>
      </c>
      <c r="W38" s="16"/>
      <c r="X38" s="16"/>
      <c r="Y38" s="16"/>
      <c r="Z38" s="16"/>
      <c r="AA38" s="612"/>
      <c r="AB38" s="612"/>
      <c r="AC38" s="18"/>
      <c r="AD38" s="18"/>
      <c r="AE38" s="14">
        <f t="shared" si="8"/>
        <v>-103.88888888888778</v>
      </c>
      <c r="AF38" s="488">
        <f t="shared" si="9"/>
        <v>0.95671296296296338</v>
      </c>
      <c r="AG38" s="616"/>
    </row>
    <row r="39" spans="1:33" ht="15.75" customHeight="1">
      <c r="A39" s="633" t="s">
        <v>180</v>
      </c>
      <c r="B39" s="27" t="s">
        <v>20</v>
      </c>
      <c r="C39" s="659" t="s">
        <v>22</v>
      </c>
      <c r="D39" s="659"/>
      <c r="E39" s="27">
        <v>26.37</v>
      </c>
      <c r="F39" s="494">
        <v>2860</v>
      </c>
      <c r="G39" s="487">
        <f t="shared" si="23"/>
        <v>75418.2</v>
      </c>
      <c r="H39" s="31" t="s">
        <v>40</v>
      </c>
      <c r="I39" s="492">
        <v>18</v>
      </c>
      <c r="J39" s="29">
        <v>2400</v>
      </c>
      <c r="K39" s="12">
        <f t="shared" si="1"/>
        <v>133.33333333333334</v>
      </c>
      <c r="L39" s="492">
        <v>18</v>
      </c>
      <c r="M39" s="13">
        <f t="shared" si="24"/>
        <v>2287.9999999999982</v>
      </c>
      <c r="N39" s="12">
        <f t="shared" si="3"/>
        <v>127.11111111111101</v>
      </c>
      <c r="O39" s="14">
        <f t="shared" si="4"/>
        <v>0</v>
      </c>
      <c r="P39" s="15">
        <f t="shared" si="5"/>
        <v>-6.222222222222328</v>
      </c>
      <c r="Q39" s="488">
        <f t="shared" si="6"/>
        <v>0.95333333333333259</v>
      </c>
      <c r="R39" s="616"/>
      <c r="S39" s="32">
        <v>0.5972222222222221</v>
      </c>
      <c r="T39" s="32">
        <v>0.64930555555555547</v>
      </c>
      <c r="U39" s="487">
        <f t="shared" si="26"/>
        <v>6.9999999999999751</v>
      </c>
      <c r="V39" s="493">
        <f t="shared" si="25"/>
        <v>75.000000000000057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-112.00000000000182</v>
      </c>
      <c r="AF39" s="488">
        <f t="shared" si="9"/>
        <v>0.95333333333333259</v>
      </c>
      <c r="AG39" s="616"/>
    </row>
    <row r="40" spans="1:33" ht="15.75" customHeight="1">
      <c r="A40" s="633" t="s">
        <v>180</v>
      </c>
      <c r="B40" s="27" t="s">
        <v>20</v>
      </c>
      <c r="C40" s="490" t="s">
        <v>57</v>
      </c>
      <c r="D40" s="491"/>
      <c r="E40" s="27">
        <v>26.18</v>
      </c>
      <c r="F40" s="494">
        <v>3335</v>
      </c>
      <c r="G40" s="487">
        <f t="shared" si="23"/>
        <v>87310.3</v>
      </c>
      <c r="H40" s="31" t="s">
        <v>40</v>
      </c>
      <c r="I40" s="492">
        <v>18</v>
      </c>
      <c r="J40" s="29">
        <v>2400</v>
      </c>
      <c r="K40" s="12">
        <f t="shared" si="1"/>
        <v>133.33333333333334</v>
      </c>
      <c r="L40" s="492">
        <v>18</v>
      </c>
      <c r="M40" s="13">
        <f t="shared" si="24"/>
        <v>2299.9999999999995</v>
      </c>
      <c r="N40" s="12">
        <f t="shared" si="3"/>
        <v>127.77777777777776</v>
      </c>
      <c r="O40" s="14">
        <f t="shared" si="4"/>
        <v>0</v>
      </c>
      <c r="P40" s="15">
        <f t="shared" si="5"/>
        <v>-5.5555555555555856</v>
      </c>
      <c r="Q40" s="488">
        <f t="shared" si="6"/>
        <v>0.95833333333333315</v>
      </c>
      <c r="R40" s="616"/>
      <c r="S40" s="32">
        <v>0.65416666666666656</v>
      </c>
      <c r="T40" s="32">
        <v>0.71458333333333324</v>
      </c>
      <c r="U40" s="487">
        <f t="shared" si="26"/>
        <v>6.9999999999999751</v>
      </c>
      <c r="V40" s="493">
        <f t="shared" si="25"/>
        <v>87.000000000000014</v>
      </c>
      <c r="W40" s="16"/>
      <c r="X40" s="16"/>
      <c r="Y40" s="16"/>
      <c r="Z40" s="16"/>
      <c r="AA40" s="483"/>
      <c r="AB40" s="484"/>
      <c r="AC40" s="18"/>
      <c r="AD40" s="18"/>
      <c r="AE40" s="14">
        <f t="shared" si="8"/>
        <v>-100.00000000000045</v>
      </c>
      <c r="AF40" s="488">
        <f t="shared" si="9"/>
        <v>0.95833333333333315</v>
      </c>
      <c r="AG40" s="616"/>
    </row>
    <row r="41" spans="1:33" ht="15.75" customHeight="1">
      <c r="A41" s="633" t="s">
        <v>180</v>
      </c>
      <c r="B41" s="27" t="s">
        <v>20</v>
      </c>
      <c r="C41" s="631" t="s">
        <v>24</v>
      </c>
      <c r="D41" s="632"/>
      <c r="E41" s="27">
        <v>20.36</v>
      </c>
      <c r="F41" s="494">
        <v>2042</v>
      </c>
      <c r="G41" s="487">
        <f t="shared" si="23"/>
        <v>41575.119999999995</v>
      </c>
      <c r="H41" s="31" t="s">
        <v>40</v>
      </c>
      <c r="I41" s="492">
        <v>17</v>
      </c>
      <c r="J41" s="29">
        <v>2400</v>
      </c>
      <c r="K41" s="12">
        <f t="shared" si="1"/>
        <v>141.1764705882353</v>
      </c>
      <c r="L41" s="492">
        <v>17</v>
      </c>
      <c r="M41" s="13">
        <f t="shared" si="24"/>
        <v>2311.6981132075484</v>
      </c>
      <c r="N41" s="12">
        <f t="shared" si="3"/>
        <v>135.9822419533852</v>
      </c>
      <c r="O41" s="14">
        <f t="shared" si="4"/>
        <v>0</v>
      </c>
      <c r="P41" s="15">
        <f t="shared" si="5"/>
        <v>-5.1942286348501057</v>
      </c>
      <c r="Q41" s="488">
        <f t="shared" si="6"/>
        <v>0.96320754716981172</v>
      </c>
      <c r="R41" s="616"/>
      <c r="S41" s="32">
        <v>0.71805555555555545</v>
      </c>
      <c r="T41" s="32">
        <v>0.75486111111111098</v>
      </c>
      <c r="U41" s="487">
        <f t="shared" si="26"/>
        <v>4.9999999999999822</v>
      </c>
      <c r="V41" s="493">
        <f t="shared" si="25"/>
        <v>52.999999999999972</v>
      </c>
      <c r="W41" s="16"/>
      <c r="X41" s="16"/>
      <c r="Y41" s="19"/>
      <c r="Z41" s="19"/>
      <c r="AA41" s="483"/>
      <c r="AB41" s="484"/>
      <c r="AC41" s="18"/>
      <c r="AD41" s="18"/>
      <c r="AE41" s="14">
        <f t="shared" si="8"/>
        <v>-88.301886792451569</v>
      </c>
      <c r="AF41" s="488">
        <f t="shared" si="9"/>
        <v>0.96320754716981183</v>
      </c>
      <c r="AG41" s="616"/>
    </row>
    <row r="42" spans="1:33" ht="15.75" customHeight="1">
      <c r="A42" s="633" t="s">
        <v>180</v>
      </c>
      <c r="B42" s="27" t="s">
        <v>174</v>
      </c>
      <c r="C42" s="658"/>
      <c r="D42" s="658"/>
      <c r="E42" s="489"/>
      <c r="F42" s="494"/>
      <c r="G42" s="487"/>
      <c r="H42" s="494"/>
      <c r="I42" s="21">
        <v>17.444444444444443</v>
      </c>
      <c r="J42" s="29">
        <v>2400</v>
      </c>
      <c r="K42" s="12">
        <f t="shared" si="1"/>
        <v>137.57961783439492</v>
      </c>
      <c r="L42" s="21">
        <v>17.444444444444443</v>
      </c>
      <c r="M42" s="13">
        <f>AVERAGE(M33:M41)</f>
        <v>2297.2765864328412</v>
      </c>
      <c r="N42" s="12">
        <f t="shared" si="3"/>
        <v>131.691014508889</v>
      </c>
      <c r="O42" s="14">
        <f t="shared" si="4"/>
        <v>0</v>
      </c>
      <c r="P42" s="15">
        <f t="shared" si="5"/>
        <v>-5.888603325505926</v>
      </c>
      <c r="Q42" s="488">
        <f t="shared" si="6"/>
        <v>0.95719857768035044</v>
      </c>
      <c r="R42" s="616"/>
      <c r="S42" s="32"/>
      <c r="T42" s="32"/>
      <c r="U42" s="487"/>
      <c r="V42" s="493"/>
      <c r="W42" s="487"/>
      <c r="X42" s="487"/>
      <c r="Y42" s="22">
        <f>SUM(Y33:Y41)</f>
        <v>0</v>
      </c>
      <c r="Z42" s="22">
        <f>SUM(Z33:Z41)</f>
        <v>0</v>
      </c>
      <c r="AA42" s="611"/>
      <c r="AB42" s="611"/>
      <c r="AC42" s="22">
        <v>9</v>
      </c>
      <c r="AD42" s="22">
        <f>SUM(AD33:AD41)</f>
        <v>0</v>
      </c>
      <c r="AE42" s="14">
        <f t="shared" si="8"/>
        <v>-102.72341356715879</v>
      </c>
      <c r="AF42" s="488">
        <f t="shared" si="9"/>
        <v>0.95719857768035055</v>
      </c>
      <c r="AG42" s="616"/>
    </row>
    <row r="43" spans="1:33" ht="15.75" customHeight="1">
      <c r="A43" s="629" t="s">
        <v>181</v>
      </c>
      <c r="B43" s="27" t="s">
        <v>20</v>
      </c>
      <c r="C43" s="660" t="s">
        <v>58</v>
      </c>
      <c r="D43" s="660"/>
      <c r="E43" s="27">
        <v>26.18</v>
      </c>
      <c r="F43" s="494">
        <v>3600</v>
      </c>
      <c r="G43" s="487">
        <f t="shared" ref="G43:G52" si="27">E43*F43</f>
        <v>94248</v>
      </c>
      <c r="H43" s="31">
        <v>2</v>
      </c>
      <c r="I43" s="492">
        <v>20</v>
      </c>
      <c r="J43" s="29">
        <v>2400</v>
      </c>
      <c r="K43" s="12">
        <f t="shared" si="1"/>
        <v>120</v>
      </c>
      <c r="L43" s="492">
        <v>20</v>
      </c>
      <c r="M43" s="13">
        <f t="shared" ref="M43:M52" si="28">F43/V43*60</f>
        <v>2297.8723404255315</v>
      </c>
      <c r="N43" s="12">
        <f t="shared" si="3"/>
        <v>114.89361702127658</v>
      </c>
      <c r="O43" s="14">
        <f t="shared" si="4"/>
        <v>0</v>
      </c>
      <c r="P43" s="15">
        <f t="shared" si="5"/>
        <v>-5.106382978723417</v>
      </c>
      <c r="Q43" s="488">
        <f t="shared" si="6"/>
        <v>0.95744680851063824</v>
      </c>
      <c r="R43" s="616">
        <f>Q53</f>
        <v>0.95819339026961126</v>
      </c>
      <c r="S43" s="32">
        <v>8.3333333333333329E-2</v>
      </c>
      <c r="T43" s="32">
        <v>0.14861111111111111</v>
      </c>
      <c r="U43" s="487"/>
      <c r="V43" s="493">
        <f t="shared" ref="V43:V52" si="29">(T43-S43)*24*60</f>
        <v>94.000000000000014</v>
      </c>
      <c r="W43" s="20">
        <f>T43</f>
        <v>0.14861111111111111</v>
      </c>
      <c r="X43" s="20">
        <f>S44</f>
        <v>0.16736111111111113</v>
      </c>
      <c r="Y43" s="20"/>
      <c r="Z43" s="20"/>
      <c r="AA43" s="612"/>
      <c r="AB43" s="612"/>
      <c r="AC43" s="18">
        <v>10</v>
      </c>
      <c r="AD43" s="18"/>
      <c r="AE43" s="14">
        <f t="shared" si="8"/>
        <v>-102.12765957446845</v>
      </c>
      <c r="AF43" s="488">
        <f t="shared" si="9"/>
        <v>0.95744680851063813</v>
      </c>
      <c r="AG43" s="616">
        <f>AF53</f>
        <v>0.95819339026961114</v>
      </c>
    </row>
    <row r="44" spans="1:33" ht="15.75" customHeight="1">
      <c r="A44" s="629" t="s">
        <v>181</v>
      </c>
      <c r="B44" s="27" t="s">
        <v>20</v>
      </c>
      <c r="C44" s="660" t="s">
        <v>25</v>
      </c>
      <c r="D44" s="660"/>
      <c r="E44" s="27">
        <v>24.43</v>
      </c>
      <c r="F44" s="494">
        <v>4300</v>
      </c>
      <c r="G44" s="487">
        <f t="shared" si="27"/>
        <v>105049</v>
      </c>
      <c r="H44" s="31">
        <v>2</v>
      </c>
      <c r="I44" s="492">
        <v>14</v>
      </c>
      <c r="J44" s="29">
        <v>2400</v>
      </c>
      <c r="K44" s="12">
        <f t="shared" si="1"/>
        <v>171.42857142857142</v>
      </c>
      <c r="L44" s="492">
        <v>14</v>
      </c>
      <c r="M44" s="13">
        <f t="shared" si="28"/>
        <v>2303.5714285714289</v>
      </c>
      <c r="N44" s="12">
        <f t="shared" si="3"/>
        <v>164.54081632653063</v>
      </c>
      <c r="O44" s="14">
        <f t="shared" si="4"/>
        <v>0</v>
      </c>
      <c r="P44" s="15">
        <f t="shared" si="5"/>
        <v>-6.887755102040785</v>
      </c>
      <c r="Q44" s="488">
        <f t="shared" si="6"/>
        <v>0.95982142857142871</v>
      </c>
      <c r="R44" s="616"/>
      <c r="S44" s="32">
        <v>0.16736111111111113</v>
      </c>
      <c r="T44" s="32">
        <v>0.24513888888888891</v>
      </c>
      <c r="U44" s="487">
        <f t="shared" ref="U44:U52" si="30">(S44-T43)*24*60</f>
        <v>27.000000000000025</v>
      </c>
      <c r="V44" s="493">
        <f t="shared" si="29"/>
        <v>112</v>
      </c>
      <c r="W44" s="487"/>
      <c r="X44" s="487"/>
      <c r="Y44" s="487"/>
      <c r="Z44" s="487"/>
      <c r="AA44" s="612"/>
      <c r="AB44" s="612"/>
      <c r="AC44" s="18"/>
      <c r="AD44" s="18"/>
      <c r="AE44" s="14">
        <f t="shared" si="8"/>
        <v>-96.428571428571104</v>
      </c>
      <c r="AF44" s="488">
        <f t="shared" si="9"/>
        <v>0.95982142857142871</v>
      </c>
      <c r="AG44" s="616"/>
    </row>
    <row r="45" spans="1:33">
      <c r="A45" s="630" t="s">
        <v>181</v>
      </c>
      <c r="B45" s="27" t="s">
        <v>20</v>
      </c>
      <c r="C45" s="660" t="s">
        <v>83</v>
      </c>
      <c r="D45" s="660"/>
      <c r="E45" s="27">
        <v>25.98</v>
      </c>
      <c r="F45" s="494">
        <v>2200</v>
      </c>
      <c r="G45" s="487">
        <f t="shared" si="27"/>
        <v>57156</v>
      </c>
      <c r="H45" s="31">
        <v>2</v>
      </c>
      <c r="I45" s="492">
        <v>20</v>
      </c>
      <c r="J45" s="29">
        <v>2400</v>
      </c>
      <c r="K45" s="12">
        <f t="shared" si="1"/>
        <v>120</v>
      </c>
      <c r="L45" s="492">
        <v>20</v>
      </c>
      <c r="M45" s="13">
        <f t="shared" si="28"/>
        <v>2315.7894736842122</v>
      </c>
      <c r="N45" s="12">
        <f t="shared" si="3"/>
        <v>115.78947368421061</v>
      </c>
      <c r="O45" s="14">
        <f t="shared" si="4"/>
        <v>0</v>
      </c>
      <c r="P45" s="15">
        <f t="shared" si="5"/>
        <v>-4.2105263157893944</v>
      </c>
      <c r="Q45" s="488">
        <f t="shared" si="6"/>
        <v>0.96491228070175505</v>
      </c>
      <c r="R45" s="616"/>
      <c r="S45" s="32">
        <v>0.24861111111111112</v>
      </c>
      <c r="T45" s="32">
        <v>0.28819444444444442</v>
      </c>
      <c r="U45" s="487">
        <f t="shared" si="30"/>
        <v>4.9999999999999822</v>
      </c>
      <c r="V45" s="493">
        <f t="shared" si="29"/>
        <v>56.999999999999957</v>
      </c>
      <c r="W45" s="487"/>
      <c r="X45" s="487"/>
      <c r="Y45" s="487"/>
      <c r="Z45" s="487"/>
      <c r="AA45" s="612"/>
      <c r="AB45" s="612"/>
      <c r="AC45" s="18"/>
      <c r="AD45" s="18"/>
      <c r="AE45" s="14">
        <f t="shared" si="8"/>
        <v>-84.210526315787774</v>
      </c>
      <c r="AF45" s="488">
        <f t="shared" si="9"/>
        <v>0.96491228070175505</v>
      </c>
      <c r="AG45" s="616"/>
    </row>
    <row r="46" spans="1:33">
      <c r="A46" s="630" t="s">
        <v>181</v>
      </c>
      <c r="B46" s="27" t="s">
        <v>20</v>
      </c>
      <c r="C46" s="660" t="s">
        <v>26</v>
      </c>
      <c r="D46" s="660"/>
      <c r="E46" s="27">
        <v>34.1</v>
      </c>
      <c r="F46" s="494">
        <v>6592</v>
      </c>
      <c r="G46" s="487">
        <f t="shared" si="27"/>
        <v>224787.20000000001</v>
      </c>
      <c r="H46" s="31" t="s">
        <v>40</v>
      </c>
      <c r="I46" s="492">
        <v>17</v>
      </c>
      <c r="J46" s="29">
        <v>1600</v>
      </c>
      <c r="K46" s="12">
        <f t="shared" si="1"/>
        <v>94.117647058823536</v>
      </c>
      <c r="L46" s="492">
        <v>17</v>
      </c>
      <c r="M46" s="13">
        <f t="shared" si="28"/>
        <v>1521.2307692307691</v>
      </c>
      <c r="N46" s="12">
        <f t="shared" si="3"/>
        <v>89.484162895927597</v>
      </c>
      <c r="O46" s="14">
        <f t="shared" si="4"/>
        <v>0</v>
      </c>
      <c r="P46" s="15">
        <f t="shared" si="5"/>
        <v>-4.6334841628959396</v>
      </c>
      <c r="Q46" s="488">
        <f t="shared" si="6"/>
        <v>0.9507692307692307</v>
      </c>
      <c r="R46" s="616"/>
      <c r="S46" s="32">
        <v>0.29236111111111107</v>
      </c>
      <c r="T46" s="32">
        <v>0.47291666666666665</v>
      </c>
      <c r="U46" s="487">
        <f t="shared" si="30"/>
        <v>5.9999999999999787</v>
      </c>
      <c r="V46" s="493">
        <f t="shared" si="29"/>
        <v>260.00000000000006</v>
      </c>
      <c r="W46" s="16"/>
      <c r="X46" s="16"/>
      <c r="Y46" s="16"/>
      <c r="Z46" s="16"/>
      <c r="AA46" s="612"/>
      <c r="AB46" s="612"/>
      <c r="AC46" s="18"/>
      <c r="AD46" s="18"/>
      <c r="AE46" s="14">
        <f t="shared" si="8"/>
        <v>-78.769230769230944</v>
      </c>
      <c r="AF46" s="488">
        <f t="shared" si="9"/>
        <v>0.9507692307692307</v>
      </c>
      <c r="AG46" s="616"/>
    </row>
    <row r="47" spans="1:33">
      <c r="A47" s="630" t="s">
        <v>181</v>
      </c>
      <c r="B47" s="27" t="s">
        <v>20</v>
      </c>
      <c r="C47" s="660" t="s">
        <v>64</v>
      </c>
      <c r="D47" s="660"/>
      <c r="E47" s="27">
        <v>20.21</v>
      </c>
      <c r="F47" s="494">
        <v>2465</v>
      </c>
      <c r="G47" s="487">
        <f t="shared" si="27"/>
        <v>49817.65</v>
      </c>
      <c r="H47" s="31" t="s">
        <v>40</v>
      </c>
      <c r="I47" s="492">
        <v>18</v>
      </c>
      <c r="J47" s="29">
        <v>2400</v>
      </c>
      <c r="K47" s="12">
        <f t="shared" si="1"/>
        <v>133.33333333333334</v>
      </c>
      <c r="L47" s="492">
        <v>18</v>
      </c>
      <c r="M47" s="13">
        <f t="shared" si="28"/>
        <v>2310.9375000000027</v>
      </c>
      <c r="N47" s="12">
        <f t="shared" si="3"/>
        <v>128.38541666666683</v>
      </c>
      <c r="O47" s="14">
        <f t="shared" si="4"/>
        <v>0</v>
      </c>
      <c r="P47" s="15">
        <f t="shared" si="5"/>
        <v>-4.9479166666665151</v>
      </c>
      <c r="Q47" s="488">
        <f t="shared" si="6"/>
        <v>0.96289062500000111</v>
      </c>
      <c r="R47" s="616"/>
      <c r="S47" s="32">
        <v>0.47638888888888886</v>
      </c>
      <c r="T47" s="32">
        <v>0.52083333333333326</v>
      </c>
      <c r="U47" s="487">
        <f t="shared" si="30"/>
        <v>4.9999999999999822</v>
      </c>
      <c r="V47" s="493">
        <f t="shared" si="29"/>
        <v>63.999999999999929</v>
      </c>
      <c r="W47" s="16">
        <f>T47</f>
        <v>0.52083333333333326</v>
      </c>
      <c r="X47" s="16">
        <f>S48</f>
        <v>0.55902777777777768</v>
      </c>
      <c r="Y47" s="16"/>
      <c r="Z47" s="16"/>
      <c r="AA47" s="612"/>
      <c r="AB47" s="612"/>
      <c r="AC47" s="18"/>
      <c r="AD47" s="18"/>
      <c r="AE47" s="14">
        <f t="shared" si="8"/>
        <v>-89.062499999997272</v>
      </c>
      <c r="AF47" s="488">
        <f t="shared" si="9"/>
        <v>0.96289062500000111</v>
      </c>
      <c r="AG47" s="616"/>
    </row>
    <row r="48" spans="1:33">
      <c r="A48" s="630" t="s">
        <v>181</v>
      </c>
      <c r="B48" s="27" t="s">
        <v>20</v>
      </c>
      <c r="C48" s="660" t="s">
        <v>58</v>
      </c>
      <c r="D48" s="660"/>
      <c r="E48" s="27">
        <v>26.18</v>
      </c>
      <c r="F48" s="494">
        <v>2673</v>
      </c>
      <c r="G48" s="487">
        <f t="shared" si="27"/>
        <v>69979.14</v>
      </c>
      <c r="H48" s="31" t="s">
        <v>40</v>
      </c>
      <c r="I48" s="492">
        <v>20</v>
      </c>
      <c r="J48" s="29">
        <v>2400</v>
      </c>
      <c r="K48" s="12">
        <f t="shared" si="1"/>
        <v>120</v>
      </c>
      <c r="L48" s="492">
        <v>20</v>
      </c>
      <c r="M48" s="13">
        <f t="shared" si="28"/>
        <v>2291.1428571428551</v>
      </c>
      <c r="N48" s="12">
        <f t="shared" si="3"/>
        <v>114.55714285714275</v>
      </c>
      <c r="O48" s="14">
        <f t="shared" si="4"/>
        <v>0</v>
      </c>
      <c r="P48" s="15">
        <f t="shared" si="5"/>
        <v>-5.4428571428572496</v>
      </c>
      <c r="Q48" s="488">
        <f t="shared" si="6"/>
        <v>0.95464285714285624</v>
      </c>
      <c r="R48" s="616"/>
      <c r="S48" s="32">
        <v>0.55902777777777768</v>
      </c>
      <c r="T48" s="32">
        <v>0.60763888888888884</v>
      </c>
      <c r="U48" s="487">
        <f t="shared" si="30"/>
        <v>54.999999999999964</v>
      </c>
      <c r="V48" s="493">
        <f t="shared" si="29"/>
        <v>70.000000000000071</v>
      </c>
      <c r="W48" s="16"/>
      <c r="X48" s="16"/>
      <c r="Y48" s="16"/>
      <c r="Z48" s="16"/>
      <c r="AA48" s="612"/>
      <c r="AB48" s="612"/>
      <c r="AC48" s="18"/>
      <c r="AD48" s="18"/>
      <c r="AE48" s="14">
        <f t="shared" si="8"/>
        <v>-108.85714285714494</v>
      </c>
      <c r="AF48" s="488">
        <f t="shared" si="9"/>
        <v>0.95464285714285624</v>
      </c>
      <c r="AG48" s="616"/>
    </row>
    <row r="49" spans="1:33">
      <c r="A49" s="630" t="s">
        <v>181</v>
      </c>
      <c r="B49" s="27" t="s">
        <v>20</v>
      </c>
      <c r="C49" s="660" t="s">
        <v>25</v>
      </c>
      <c r="D49" s="660"/>
      <c r="E49" s="27">
        <v>24.43</v>
      </c>
      <c r="F49" s="494">
        <v>3465</v>
      </c>
      <c r="G49" s="487">
        <f t="shared" si="27"/>
        <v>84649.95</v>
      </c>
      <c r="H49" s="31" t="s">
        <v>40</v>
      </c>
      <c r="I49" s="492">
        <v>14</v>
      </c>
      <c r="J49" s="29">
        <v>2400</v>
      </c>
      <c r="K49" s="12">
        <f t="shared" si="1"/>
        <v>171.42857142857142</v>
      </c>
      <c r="L49" s="492">
        <v>14</v>
      </c>
      <c r="M49" s="13">
        <f t="shared" si="28"/>
        <v>2284.6153846153848</v>
      </c>
      <c r="N49" s="12">
        <f t="shared" si="3"/>
        <v>163.1868131868132</v>
      </c>
      <c r="O49" s="14">
        <f t="shared" si="4"/>
        <v>0</v>
      </c>
      <c r="P49" s="15">
        <f t="shared" si="5"/>
        <v>-8.2417582417582196</v>
      </c>
      <c r="Q49" s="488">
        <f t="shared" si="6"/>
        <v>0.95192307692307709</v>
      </c>
      <c r="R49" s="616"/>
      <c r="S49" s="32">
        <v>0.61111111111111105</v>
      </c>
      <c r="T49" s="32">
        <v>0.67430555555555549</v>
      </c>
      <c r="U49" s="487">
        <f t="shared" si="30"/>
        <v>4.9999999999999822</v>
      </c>
      <c r="V49" s="493">
        <f t="shared" si="29"/>
        <v>91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-115.38461538461524</v>
      </c>
      <c r="AF49" s="488">
        <f t="shared" si="9"/>
        <v>0.95192307692307698</v>
      </c>
      <c r="AG49" s="616"/>
    </row>
    <row r="50" spans="1:33">
      <c r="A50" s="630" t="s">
        <v>181</v>
      </c>
      <c r="B50" s="27" t="s">
        <v>20</v>
      </c>
      <c r="C50" s="660" t="s">
        <v>83</v>
      </c>
      <c r="D50" s="660"/>
      <c r="E50" s="27">
        <v>25.98</v>
      </c>
      <c r="F50" s="494">
        <v>1545</v>
      </c>
      <c r="G50" s="487">
        <f t="shared" si="27"/>
        <v>40139.1</v>
      </c>
      <c r="H50" s="31" t="s">
        <v>40</v>
      </c>
      <c r="I50" s="492">
        <v>20</v>
      </c>
      <c r="J50" s="29">
        <v>2400</v>
      </c>
      <c r="K50" s="12">
        <f t="shared" si="1"/>
        <v>120</v>
      </c>
      <c r="L50" s="492">
        <v>20</v>
      </c>
      <c r="M50" s="13">
        <f t="shared" si="28"/>
        <v>2317.4999999999991</v>
      </c>
      <c r="N50" s="12">
        <f t="shared" si="3"/>
        <v>115.87499999999996</v>
      </c>
      <c r="O50" s="14">
        <f t="shared" si="4"/>
        <v>0</v>
      </c>
      <c r="P50" s="15">
        <f t="shared" si="5"/>
        <v>-4.1250000000000426</v>
      </c>
      <c r="Q50" s="488">
        <f t="shared" si="6"/>
        <v>0.96562499999999962</v>
      </c>
      <c r="R50" s="616"/>
      <c r="S50" s="32">
        <v>0.6777777777777777</v>
      </c>
      <c r="T50" s="32">
        <v>0.70555555555555549</v>
      </c>
      <c r="U50" s="487">
        <f t="shared" si="30"/>
        <v>4.9999999999999822</v>
      </c>
      <c r="V50" s="493">
        <f t="shared" si="29"/>
        <v>40.000000000000014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-82.500000000000909</v>
      </c>
      <c r="AF50" s="488">
        <f t="shared" si="9"/>
        <v>0.96562499999999962</v>
      </c>
      <c r="AG50" s="616"/>
    </row>
    <row r="51" spans="1:33">
      <c r="A51" s="630" t="s">
        <v>181</v>
      </c>
      <c r="B51" s="27" t="s">
        <v>20</v>
      </c>
      <c r="C51" s="605" t="s">
        <v>739</v>
      </c>
      <c r="D51" s="606"/>
      <c r="E51" s="27">
        <v>28.29</v>
      </c>
      <c r="F51" s="494">
        <v>2071</v>
      </c>
      <c r="G51" s="487">
        <f t="shared" si="27"/>
        <v>58588.59</v>
      </c>
      <c r="H51" s="31" t="s">
        <v>40</v>
      </c>
      <c r="I51" s="492">
        <v>21</v>
      </c>
      <c r="J51" s="29">
        <v>2400</v>
      </c>
      <c r="K51" s="12">
        <f t="shared" si="1"/>
        <v>114.28571428571429</v>
      </c>
      <c r="L51" s="492">
        <v>21</v>
      </c>
      <c r="M51" s="13">
        <f t="shared" si="28"/>
        <v>2301.1111111111122</v>
      </c>
      <c r="N51" s="12">
        <f t="shared" si="3"/>
        <v>109.57671957671963</v>
      </c>
      <c r="O51" s="14">
        <f t="shared" si="4"/>
        <v>0</v>
      </c>
      <c r="P51" s="15">
        <f t="shared" si="5"/>
        <v>-4.7089947089946662</v>
      </c>
      <c r="Q51" s="488">
        <f t="shared" si="6"/>
        <v>0.9587962962962967</v>
      </c>
      <c r="R51" s="616"/>
      <c r="S51" s="32">
        <v>0.71041666666666659</v>
      </c>
      <c r="T51" s="32">
        <v>0.74791666666666656</v>
      </c>
      <c r="U51" s="487">
        <f t="shared" si="30"/>
        <v>6.9999999999999751</v>
      </c>
      <c r="V51" s="493">
        <f t="shared" si="29"/>
        <v>53.999999999999972</v>
      </c>
      <c r="W51" s="16"/>
      <c r="X51" s="16"/>
      <c r="Y51" s="19"/>
      <c r="Z51" s="19"/>
      <c r="AA51" s="483"/>
      <c r="AB51" s="484"/>
      <c r="AC51" s="18"/>
      <c r="AD51" s="18"/>
      <c r="AE51" s="14">
        <f t="shared" si="8"/>
        <v>-98.888888888887777</v>
      </c>
      <c r="AF51" s="488">
        <f t="shared" si="9"/>
        <v>0.95879629629629681</v>
      </c>
      <c r="AG51" s="616"/>
    </row>
    <row r="52" spans="1:33">
      <c r="A52" s="630" t="s">
        <v>181</v>
      </c>
      <c r="B52" s="27" t="s">
        <v>20</v>
      </c>
      <c r="C52" s="605" t="s">
        <v>80</v>
      </c>
      <c r="D52" s="606"/>
      <c r="E52" s="27">
        <v>25.98</v>
      </c>
      <c r="F52" s="494">
        <v>1448</v>
      </c>
      <c r="G52" s="487">
        <f t="shared" si="27"/>
        <v>37619.040000000001</v>
      </c>
      <c r="H52" s="31" t="s">
        <v>40</v>
      </c>
      <c r="I52" s="492">
        <v>17</v>
      </c>
      <c r="J52" s="29">
        <v>2400</v>
      </c>
      <c r="K52" s="12">
        <f t="shared" si="1"/>
        <v>141.1764705882353</v>
      </c>
      <c r="L52" s="492">
        <v>17</v>
      </c>
      <c r="M52" s="13">
        <f t="shared" si="28"/>
        <v>2286.3157894736828</v>
      </c>
      <c r="N52" s="12">
        <f t="shared" si="3"/>
        <v>134.48916408668723</v>
      </c>
      <c r="O52" s="14">
        <f t="shared" si="4"/>
        <v>0</v>
      </c>
      <c r="P52" s="15">
        <f t="shared" si="5"/>
        <v>-6.687306501548079</v>
      </c>
      <c r="Q52" s="488">
        <f t="shared" si="6"/>
        <v>0.95263157894736783</v>
      </c>
      <c r="R52" s="616"/>
      <c r="S52" s="32">
        <v>0.7534722222222221</v>
      </c>
      <c r="T52" s="32">
        <v>0.77986111111111101</v>
      </c>
      <c r="U52" s="487">
        <f t="shared" si="30"/>
        <v>7.9999999999999716</v>
      </c>
      <c r="V52" s="493">
        <f t="shared" si="29"/>
        <v>38.000000000000028</v>
      </c>
      <c r="W52" s="16"/>
      <c r="X52" s="16"/>
      <c r="Y52" s="19"/>
      <c r="Z52" s="19"/>
      <c r="AA52" s="483"/>
      <c r="AB52" s="484"/>
      <c r="AC52" s="18"/>
      <c r="AD52" s="18"/>
      <c r="AE52" s="14">
        <f t="shared" si="8"/>
        <v>-113.6842105263172</v>
      </c>
      <c r="AF52" s="488">
        <f t="shared" si="9"/>
        <v>0.95263157894736783</v>
      </c>
      <c r="AG52" s="616"/>
    </row>
    <row r="53" spans="1:33">
      <c r="A53" s="630" t="s">
        <v>181</v>
      </c>
      <c r="B53" s="28" t="s">
        <v>174</v>
      </c>
      <c r="C53" s="658"/>
      <c r="D53" s="658"/>
      <c r="E53" s="489"/>
      <c r="F53" s="28"/>
      <c r="G53" s="12"/>
      <c r="H53" s="494"/>
      <c r="I53" s="21">
        <v>18.100000000000001</v>
      </c>
      <c r="J53" s="29">
        <v>2320</v>
      </c>
      <c r="K53" s="12">
        <f t="shared" si="1"/>
        <v>128.17679558011048</v>
      </c>
      <c r="L53" s="21">
        <v>18.100000000000001</v>
      </c>
      <c r="M53" s="13">
        <f>AVERAGE(M43:M52)</f>
        <v>2223.0086654254978</v>
      </c>
      <c r="N53" s="12">
        <f t="shared" si="3"/>
        <v>122.81815831080098</v>
      </c>
      <c r="O53" s="14">
        <f t="shared" si="4"/>
        <v>0</v>
      </c>
      <c r="P53" s="15">
        <f t="shared" si="5"/>
        <v>-5.3586372693094972</v>
      </c>
      <c r="Q53" s="488">
        <f t="shared" si="6"/>
        <v>0.95819339026961126</v>
      </c>
      <c r="R53" s="616"/>
      <c r="S53" s="32"/>
      <c r="T53" s="32"/>
      <c r="U53" s="12"/>
      <c r="V53" s="493"/>
      <c r="W53" s="12"/>
      <c r="X53" s="12"/>
      <c r="Y53" s="22">
        <f>SUM(Y43:Y52)</f>
        <v>0</v>
      </c>
      <c r="Z53" s="22">
        <f>SUM(Z43:Z52)</f>
        <v>0</v>
      </c>
      <c r="AA53" s="611"/>
      <c r="AB53" s="611"/>
      <c r="AC53" s="22">
        <v>10</v>
      </c>
      <c r="AD53" s="22">
        <f>SUM(AD43:AD52)</f>
        <v>0</v>
      </c>
      <c r="AE53" s="14">
        <f t="shared" si="8"/>
        <v>-96.991334574502162</v>
      </c>
      <c r="AF53" s="488">
        <f t="shared" si="9"/>
        <v>0.95819339026961114</v>
      </c>
      <c r="AG53" s="616"/>
    </row>
    <row r="54" spans="1:33" ht="15.75" customHeight="1">
      <c r="A54" s="623" t="s">
        <v>75</v>
      </c>
      <c r="B54" s="27" t="s">
        <v>27</v>
      </c>
      <c r="C54" s="605" t="s">
        <v>33</v>
      </c>
      <c r="D54" s="606"/>
      <c r="E54" s="27">
        <v>34.36</v>
      </c>
      <c r="F54" s="494">
        <v>2207</v>
      </c>
      <c r="G54" s="487">
        <f t="shared" ref="G54:G58" si="31">E54*F54</f>
        <v>75832.52</v>
      </c>
      <c r="H54" s="31" t="s">
        <v>40</v>
      </c>
      <c r="I54" s="492">
        <v>10</v>
      </c>
      <c r="J54" s="29">
        <v>3000</v>
      </c>
      <c r="K54" s="12">
        <f t="shared" si="1"/>
        <v>300</v>
      </c>
      <c r="L54" s="492">
        <v>10</v>
      </c>
      <c r="M54" s="13">
        <f t="shared" ref="M54:M58" si="32">F54/V54*60</f>
        <v>2878.695652173913</v>
      </c>
      <c r="N54" s="13">
        <f t="shared" si="3"/>
        <v>287.86956521739131</v>
      </c>
      <c r="O54" s="14">
        <f t="shared" si="4"/>
        <v>0</v>
      </c>
      <c r="P54" s="15">
        <f t="shared" si="5"/>
        <v>-12.130434782608688</v>
      </c>
      <c r="Q54" s="488">
        <f t="shared" si="6"/>
        <v>0.9595652173913044</v>
      </c>
      <c r="R54" s="626">
        <f>Q59</f>
        <v>0.9613495924740002</v>
      </c>
      <c r="S54" s="32">
        <v>0.20833333333333334</v>
      </c>
      <c r="T54" s="32">
        <v>0.24027777777777778</v>
      </c>
      <c r="U54" s="20"/>
      <c r="V54" s="493">
        <f t="shared" ref="V54:V58" si="33">(T54-S54)*24*60</f>
        <v>46</v>
      </c>
      <c r="W54" s="16"/>
      <c r="X54" s="16"/>
      <c r="Y54" s="19"/>
      <c r="Z54" s="19"/>
      <c r="AA54" s="607"/>
      <c r="AB54" s="608"/>
      <c r="AC54" s="18">
        <v>5</v>
      </c>
      <c r="AD54" s="18"/>
      <c r="AE54" s="14">
        <f t="shared" si="8"/>
        <v>-121.304347826087</v>
      </c>
      <c r="AF54" s="488">
        <f t="shared" si="9"/>
        <v>0.95956521739130429</v>
      </c>
      <c r="AG54" s="626">
        <f>AF59</f>
        <v>0.96134959247400031</v>
      </c>
    </row>
    <row r="55" spans="1:33" ht="15.75" customHeight="1">
      <c r="A55" s="624" t="s">
        <v>75</v>
      </c>
      <c r="B55" s="27" t="s">
        <v>27</v>
      </c>
      <c r="C55" s="605" t="s">
        <v>29</v>
      </c>
      <c r="D55" s="606"/>
      <c r="E55" s="27">
        <v>21.13</v>
      </c>
      <c r="F55" s="494">
        <v>5930</v>
      </c>
      <c r="G55" s="487">
        <f t="shared" si="31"/>
        <v>125300.9</v>
      </c>
      <c r="H55" s="31" t="s">
        <v>40</v>
      </c>
      <c r="I55" s="492">
        <v>10</v>
      </c>
      <c r="J55" s="29">
        <v>3000</v>
      </c>
      <c r="K55" s="12">
        <f t="shared" si="1"/>
        <v>300</v>
      </c>
      <c r="L55" s="492">
        <v>10</v>
      </c>
      <c r="M55" s="13">
        <f t="shared" si="32"/>
        <v>2869.3548387096766</v>
      </c>
      <c r="N55" s="13">
        <f t="shared" si="3"/>
        <v>286.93548387096769</v>
      </c>
      <c r="O55" s="14">
        <f t="shared" si="4"/>
        <v>0</v>
      </c>
      <c r="P55" s="15">
        <f t="shared" si="5"/>
        <v>-13.064516129032313</v>
      </c>
      <c r="Q55" s="488">
        <f t="shared" si="6"/>
        <v>0.95645161290322567</v>
      </c>
      <c r="R55" s="627"/>
      <c r="S55" s="32">
        <v>0.24444444444444446</v>
      </c>
      <c r="T55" s="32">
        <v>0.3305555555555556</v>
      </c>
      <c r="U55" s="487">
        <f t="shared" ref="U55:U58" si="34">(S55-T54)*24*60</f>
        <v>6.0000000000000187</v>
      </c>
      <c r="V55" s="493">
        <f t="shared" si="33"/>
        <v>124.00000000000004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-130.64516129032336</v>
      </c>
      <c r="AF55" s="488">
        <f t="shared" si="9"/>
        <v>0.95645161290322556</v>
      </c>
      <c r="AG55" s="627"/>
    </row>
    <row r="56" spans="1:33" ht="15.75" customHeight="1">
      <c r="A56" s="624" t="s">
        <v>75</v>
      </c>
      <c r="B56" s="27" t="s">
        <v>27</v>
      </c>
      <c r="C56" s="605" t="s">
        <v>30</v>
      </c>
      <c r="D56" s="606"/>
      <c r="E56" s="27">
        <v>27.17</v>
      </c>
      <c r="F56" s="494">
        <v>5341</v>
      </c>
      <c r="G56" s="487">
        <f t="shared" si="31"/>
        <v>145114.97</v>
      </c>
      <c r="H56" s="31" t="s">
        <v>40</v>
      </c>
      <c r="I56" s="492">
        <v>10</v>
      </c>
      <c r="J56" s="29">
        <v>3000</v>
      </c>
      <c r="K56" s="12">
        <f t="shared" si="1"/>
        <v>300</v>
      </c>
      <c r="L56" s="492">
        <v>10</v>
      </c>
      <c r="M56" s="13">
        <f t="shared" si="32"/>
        <v>2861.25</v>
      </c>
      <c r="N56" s="13">
        <f t="shared" si="3"/>
        <v>286.125</v>
      </c>
      <c r="O56" s="14">
        <f t="shared" si="4"/>
        <v>0</v>
      </c>
      <c r="P56" s="15">
        <f t="shared" si="5"/>
        <v>-13.875</v>
      </c>
      <c r="Q56" s="488">
        <f t="shared" si="6"/>
        <v>0.95374999999999999</v>
      </c>
      <c r="R56" s="627"/>
      <c r="S56" s="32">
        <v>0.33402777777777781</v>
      </c>
      <c r="T56" s="32">
        <v>0.41180555555555559</v>
      </c>
      <c r="U56" s="487">
        <f t="shared" si="34"/>
        <v>4.9999999999999822</v>
      </c>
      <c r="V56" s="493">
        <f t="shared" si="33"/>
        <v>112</v>
      </c>
      <c r="W56" s="16"/>
      <c r="X56" s="16"/>
      <c r="Y56" s="19"/>
      <c r="Z56" s="19"/>
      <c r="AA56" s="607"/>
      <c r="AB56" s="608"/>
      <c r="AC56" s="18"/>
      <c r="AD56" s="18"/>
      <c r="AE56" s="14">
        <f t="shared" si="8"/>
        <v>-138.75</v>
      </c>
      <c r="AF56" s="488">
        <f t="shared" si="9"/>
        <v>0.95374999999999999</v>
      </c>
      <c r="AG56" s="627"/>
    </row>
    <row r="57" spans="1:33" ht="15.75" customHeight="1">
      <c r="A57" s="624" t="s">
        <v>75</v>
      </c>
      <c r="B57" s="27" t="s">
        <v>27</v>
      </c>
      <c r="C57" s="605" t="s">
        <v>35</v>
      </c>
      <c r="D57" s="606"/>
      <c r="E57" s="27">
        <v>35.869999999999997</v>
      </c>
      <c r="F57" s="494">
        <v>2536</v>
      </c>
      <c r="G57" s="487">
        <f t="shared" si="31"/>
        <v>90966.319999999992</v>
      </c>
      <c r="H57" s="31" t="s">
        <v>40</v>
      </c>
      <c r="I57" s="492">
        <v>9</v>
      </c>
      <c r="J57" s="29">
        <v>3000</v>
      </c>
      <c r="K57" s="12">
        <f t="shared" si="1"/>
        <v>333.33333333333331</v>
      </c>
      <c r="L57" s="492">
        <v>9</v>
      </c>
      <c r="M57" s="13">
        <f t="shared" si="32"/>
        <v>2870.9433962264166</v>
      </c>
      <c r="N57" s="13">
        <f t="shared" si="3"/>
        <v>318.99371069182405</v>
      </c>
      <c r="O57" s="14">
        <f t="shared" si="4"/>
        <v>0</v>
      </c>
      <c r="P57" s="15">
        <f t="shared" si="5"/>
        <v>-14.339622641509266</v>
      </c>
      <c r="Q57" s="488">
        <f t="shared" si="6"/>
        <v>0.9569811320754722</v>
      </c>
      <c r="R57" s="627"/>
      <c r="S57" s="32">
        <v>0.4152777777777778</v>
      </c>
      <c r="T57" s="32">
        <v>0.45208333333333334</v>
      </c>
      <c r="U57" s="487">
        <f t="shared" si="34"/>
        <v>4.9999999999999822</v>
      </c>
      <c r="V57" s="493">
        <f t="shared" si="33"/>
        <v>52.999999999999972</v>
      </c>
      <c r="W57" s="16"/>
      <c r="X57" s="16"/>
      <c r="Y57" s="19"/>
      <c r="Z57" s="19"/>
      <c r="AA57" s="607"/>
      <c r="AB57" s="608"/>
      <c r="AC57" s="18"/>
      <c r="AD57" s="18"/>
      <c r="AE57" s="14">
        <f t="shared" si="8"/>
        <v>-129.05660377358345</v>
      </c>
      <c r="AF57" s="488">
        <f t="shared" si="9"/>
        <v>0.9569811320754722</v>
      </c>
      <c r="AG57" s="627"/>
    </row>
    <row r="58" spans="1:33" ht="15.75" customHeight="1">
      <c r="A58" s="624" t="s">
        <v>75</v>
      </c>
      <c r="B58" s="27" t="s">
        <v>27</v>
      </c>
      <c r="C58" s="605" t="s">
        <v>36</v>
      </c>
      <c r="D58" s="606"/>
      <c r="E58" s="27">
        <v>34.35</v>
      </c>
      <c r="F58" s="494">
        <v>931</v>
      </c>
      <c r="G58" s="487">
        <f t="shared" si="31"/>
        <v>31979.850000000002</v>
      </c>
      <c r="H58" s="31" t="s">
        <v>40</v>
      </c>
      <c r="I58" s="492">
        <v>8</v>
      </c>
      <c r="J58" s="29">
        <v>3000</v>
      </c>
      <c r="K58" s="12">
        <f t="shared" si="1"/>
        <v>375</v>
      </c>
      <c r="L58" s="492">
        <v>8</v>
      </c>
      <c r="M58" s="13">
        <f t="shared" si="32"/>
        <v>2939.9999999999977</v>
      </c>
      <c r="N58" s="13">
        <f t="shared" si="3"/>
        <v>367.49999999999972</v>
      </c>
      <c r="O58" s="14">
        <f t="shared" si="4"/>
        <v>0</v>
      </c>
      <c r="P58" s="15">
        <f t="shared" si="5"/>
        <v>-7.5000000000002842</v>
      </c>
      <c r="Q58" s="488">
        <f t="shared" si="6"/>
        <v>0.97999999999999921</v>
      </c>
      <c r="R58" s="627"/>
      <c r="S58" s="32">
        <v>0.45555555555555555</v>
      </c>
      <c r="T58" s="32">
        <v>0.46875</v>
      </c>
      <c r="U58" s="487">
        <f t="shared" si="34"/>
        <v>4.9999999999999822</v>
      </c>
      <c r="V58" s="493">
        <f t="shared" si="33"/>
        <v>19.000000000000014</v>
      </c>
      <c r="W58" s="16"/>
      <c r="X58" s="16"/>
      <c r="Y58" s="19"/>
      <c r="Z58" s="19"/>
      <c r="AA58" s="607"/>
      <c r="AB58" s="608"/>
      <c r="AC58" s="18"/>
      <c r="AD58" s="18"/>
      <c r="AE58" s="14">
        <f t="shared" si="8"/>
        <v>-60.000000000002274</v>
      </c>
      <c r="AF58" s="488">
        <f t="shared" si="9"/>
        <v>0.97999999999999921</v>
      </c>
      <c r="AG58" s="627"/>
    </row>
    <row r="59" spans="1:33" ht="15.75" customHeight="1">
      <c r="A59" s="625" t="s">
        <v>75</v>
      </c>
      <c r="B59" s="27" t="s">
        <v>174</v>
      </c>
      <c r="C59" s="609"/>
      <c r="D59" s="610"/>
      <c r="E59" s="485"/>
      <c r="F59" s="494"/>
      <c r="G59" s="487"/>
      <c r="H59" s="494"/>
      <c r="I59" s="21">
        <v>9.4</v>
      </c>
      <c r="J59" s="29">
        <v>3000</v>
      </c>
      <c r="K59" s="12">
        <f t="shared" si="1"/>
        <v>319.14893617021278</v>
      </c>
      <c r="L59" s="21">
        <v>9.4</v>
      </c>
      <c r="M59" s="13">
        <f>AVERAGE(M54:M58)</f>
        <v>2884.048777422001</v>
      </c>
      <c r="N59" s="12">
        <f t="shared" si="3"/>
        <v>306.81369972574475</v>
      </c>
      <c r="O59" s="14">
        <f t="shared" si="4"/>
        <v>0</v>
      </c>
      <c r="P59" s="15">
        <f t="shared" si="5"/>
        <v>-12.335236444468023</v>
      </c>
      <c r="Q59" s="488">
        <f t="shared" si="6"/>
        <v>0.9613495924740002</v>
      </c>
      <c r="R59" s="628"/>
      <c r="S59" s="32"/>
      <c r="T59" s="32"/>
      <c r="U59" s="487"/>
      <c r="V59" s="493"/>
      <c r="W59" s="16"/>
      <c r="X59" s="16"/>
      <c r="Y59" s="22">
        <f>SUM(Y54:Y58)</f>
        <v>0</v>
      </c>
      <c r="Z59" s="22">
        <f>SUM(Z54:Z58)</f>
        <v>0</v>
      </c>
      <c r="AA59" s="619"/>
      <c r="AB59" s="620"/>
      <c r="AC59" s="22">
        <v>5</v>
      </c>
      <c r="AD59" s="22">
        <f>SUM(AD54:AD58)</f>
        <v>0</v>
      </c>
      <c r="AE59" s="14">
        <f t="shared" si="8"/>
        <v>-115.95122257799903</v>
      </c>
      <c r="AF59" s="488">
        <f t="shared" si="9"/>
        <v>0.96134959247400031</v>
      </c>
      <c r="AG59" s="628"/>
    </row>
    <row r="60" spans="1:33" ht="15.75" customHeight="1">
      <c r="A60" s="621" t="s">
        <v>71</v>
      </c>
      <c r="B60" s="27" t="s">
        <v>11</v>
      </c>
      <c r="C60" s="660" t="s">
        <v>2492</v>
      </c>
      <c r="D60" s="660"/>
      <c r="E60" s="27">
        <v>51.44</v>
      </c>
      <c r="F60" s="30">
        <v>9278</v>
      </c>
      <c r="G60" s="487">
        <f t="shared" ref="G60:G69" si="35">E60*F60</f>
        <v>477260.32</v>
      </c>
      <c r="H60" s="31" t="s">
        <v>40</v>
      </c>
      <c r="I60" s="492">
        <v>18</v>
      </c>
      <c r="J60" s="29">
        <v>2000</v>
      </c>
      <c r="K60" s="12">
        <f t="shared" si="1"/>
        <v>111.11111111111111</v>
      </c>
      <c r="L60" s="492">
        <v>18</v>
      </c>
      <c r="M60" s="13">
        <f t="shared" ref="M60" si="36">F60/V60*60</f>
        <v>1906.4383561643835</v>
      </c>
      <c r="N60" s="13">
        <f t="shared" si="3"/>
        <v>105.91324200913242</v>
      </c>
      <c r="O60" s="14">
        <f t="shared" si="4"/>
        <v>0</v>
      </c>
      <c r="P60" s="15">
        <f t="shared" si="5"/>
        <v>-5.1978691019786964</v>
      </c>
      <c r="Q60" s="488">
        <f t="shared" si="6"/>
        <v>0.9532191780821917</v>
      </c>
      <c r="R60" s="616">
        <f>Q70</f>
        <v>0.96227946032845457</v>
      </c>
      <c r="S60" s="32">
        <v>8.3333333333333329E-2</v>
      </c>
      <c r="T60" s="32">
        <v>0.28611111111111109</v>
      </c>
      <c r="U60" s="20"/>
      <c r="V60" s="493">
        <f t="shared" ref="V60:V69" si="37">(T60-S60)*24*60</f>
        <v>292</v>
      </c>
      <c r="W60" s="16">
        <f>T60</f>
        <v>0.28611111111111109</v>
      </c>
      <c r="X60" s="16">
        <f>S61</f>
        <v>0.30624999999999997</v>
      </c>
      <c r="Y60" s="20"/>
      <c r="Z60" s="20"/>
      <c r="AA60" s="612"/>
      <c r="AB60" s="612"/>
      <c r="AC60" s="18">
        <v>10</v>
      </c>
      <c r="AD60" s="18"/>
      <c r="AE60" s="14">
        <f t="shared" si="8"/>
        <v>-93.561643835616451</v>
      </c>
      <c r="AF60" s="488">
        <f t="shared" si="9"/>
        <v>0.95321917808219181</v>
      </c>
      <c r="AG60" s="616">
        <f>AF70</f>
        <v>0.96227946032845468</v>
      </c>
    </row>
    <row r="61" spans="1:33" ht="15.75" customHeight="1">
      <c r="A61" s="621" t="s">
        <v>71</v>
      </c>
      <c r="B61" s="27" t="s">
        <v>5</v>
      </c>
      <c r="C61" s="660" t="s">
        <v>15</v>
      </c>
      <c r="D61" s="660"/>
      <c r="E61" s="27">
        <v>59.04</v>
      </c>
      <c r="F61" s="30">
        <v>1888</v>
      </c>
      <c r="G61" s="487">
        <f t="shared" si="35"/>
        <v>111467.52</v>
      </c>
      <c r="H61" s="31" t="s">
        <v>40</v>
      </c>
      <c r="I61" s="492">
        <v>19</v>
      </c>
      <c r="J61" s="29">
        <v>2000</v>
      </c>
      <c r="K61" s="12">
        <f t="shared" si="1"/>
        <v>105.26315789473684</v>
      </c>
      <c r="L61" s="492">
        <v>19</v>
      </c>
      <c r="M61" s="13">
        <f>F61/V61*60</f>
        <v>1919.9999999999991</v>
      </c>
      <c r="N61" s="13">
        <f t="shared" si="3"/>
        <v>101.05263157894733</v>
      </c>
      <c r="O61" s="14">
        <f t="shared" si="4"/>
        <v>0</v>
      </c>
      <c r="P61" s="15">
        <f t="shared" si="5"/>
        <v>-4.2105263157895081</v>
      </c>
      <c r="Q61" s="488">
        <f t="shared" si="6"/>
        <v>0.95999999999999963</v>
      </c>
      <c r="R61" s="616"/>
      <c r="S61" s="32">
        <v>0.30624999999999997</v>
      </c>
      <c r="T61" s="32">
        <v>0.34722222222222221</v>
      </c>
      <c r="U61" s="487">
        <f t="shared" ref="U61:U69" si="38">IF(S61=TIME(17,0,0),"",(S61-T60)*24*60)</f>
        <v>28.999999999999979</v>
      </c>
      <c r="V61" s="493">
        <f t="shared" si="37"/>
        <v>59.000000000000028</v>
      </c>
      <c r="W61" s="16"/>
      <c r="X61" s="16"/>
      <c r="Y61" s="16"/>
      <c r="Z61" s="16"/>
      <c r="AA61" s="612"/>
      <c r="AB61" s="612"/>
      <c r="AC61" s="18"/>
      <c r="AD61" s="18"/>
      <c r="AE61" s="14">
        <f t="shared" si="8"/>
        <v>-80.000000000000909</v>
      </c>
      <c r="AF61" s="488">
        <f t="shared" si="9"/>
        <v>0.95999999999999952</v>
      </c>
      <c r="AG61" s="616"/>
    </row>
    <row r="62" spans="1:33" ht="15.75" customHeight="1">
      <c r="A62" s="621" t="s">
        <v>71</v>
      </c>
      <c r="B62" s="27" t="s">
        <v>5</v>
      </c>
      <c r="C62" s="605" t="s">
        <v>31</v>
      </c>
      <c r="D62" s="606"/>
      <c r="E62" s="27">
        <v>56.43</v>
      </c>
      <c r="F62" s="30">
        <v>1325</v>
      </c>
      <c r="G62" s="487">
        <f t="shared" si="35"/>
        <v>74769.75</v>
      </c>
      <c r="H62" s="31" t="s">
        <v>40</v>
      </c>
      <c r="I62" s="492">
        <v>22</v>
      </c>
      <c r="J62" s="29">
        <v>2000</v>
      </c>
      <c r="K62" s="12">
        <f t="shared" si="1"/>
        <v>90.909090909090907</v>
      </c>
      <c r="L62" s="492">
        <v>22</v>
      </c>
      <c r="M62" s="13">
        <f t="shared" ref="M62:M69" si="39">F62/V62*60</f>
        <v>1939.0243902439017</v>
      </c>
      <c r="N62" s="13">
        <f t="shared" si="3"/>
        <v>88.137472283813722</v>
      </c>
      <c r="O62" s="14">
        <f t="shared" si="4"/>
        <v>0</v>
      </c>
      <c r="P62" s="15">
        <f t="shared" si="5"/>
        <v>-2.7716186252771848</v>
      </c>
      <c r="Q62" s="488">
        <f t="shared" si="6"/>
        <v>0.96951219512195097</v>
      </c>
      <c r="R62" s="616"/>
      <c r="S62" s="32">
        <v>0.3520833333333333</v>
      </c>
      <c r="T62" s="32">
        <v>0.38055555555555554</v>
      </c>
      <c r="U62" s="487">
        <f t="shared" si="38"/>
        <v>6.9999999999999751</v>
      </c>
      <c r="V62" s="493">
        <f t="shared" si="37"/>
        <v>41.000000000000014</v>
      </c>
      <c r="W62" s="16"/>
      <c r="X62" s="16"/>
      <c r="Y62" s="19"/>
      <c r="Z62" s="19"/>
      <c r="AA62" s="612"/>
      <c r="AB62" s="612"/>
      <c r="AC62" s="18"/>
      <c r="AD62" s="18"/>
      <c r="AE62" s="14">
        <f t="shared" si="8"/>
        <v>-60.975609756098265</v>
      </c>
      <c r="AF62" s="488">
        <f t="shared" si="9"/>
        <v>0.96951219512195086</v>
      </c>
      <c r="AG62" s="616"/>
    </row>
    <row r="63" spans="1:33" ht="15.75" customHeight="1">
      <c r="A63" s="621" t="s">
        <v>71</v>
      </c>
      <c r="B63" s="27" t="s">
        <v>5</v>
      </c>
      <c r="C63" s="481" t="s">
        <v>81</v>
      </c>
      <c r="D63" s="482"/>
      <c r="E63" s="27">
        <v>51.44</v>
      </c>
      <c r="F63" s="30">
        <v>1914</v>
      </c>
      <c r="G63" s="487">
        <f t="shared" si="35"/>
        <v>98456.159999999989</v>
      </c>
      <c r="H63" s="31" t="s">
        <v>40</v>
      </c>
      <c r="I63" s="492">
        <v>25</v>
      </c>
      <c r="J63" s="29">
        <v>2000</v>
      </c>
      <c r="K63" s="12">
        <f t="shared" si="1"/>
        <v>80</v>
      </c>
      <c r="L63" s="492">
        <v>25</v>
      </c>
      <c r="M63" s="13">
        <f t="shared" si="39"/>
        <v>1913.9999999999991</v>
      </c>
      <c r="N63" s="13">
        <f t="shared" si="3"/>
        <v>76.55999999999996</v>
      </c>
      <c r="O63" s="14">
        <f t="shared" si="4"/>
        <v>0</v>
      </c>
      <c r="P63" s="15">
        <f t="shared" si="5"/>
        <v>-3.4400000000000404</v>
      </c>
      <c r="Q63" s="488">
        <f t="shared" si="6"/>
        <v>0.95699999999999952</v>
      </c>
      <c r="R63" s="616"/>
      <c r="S63" s="32">
        <v>0.38611111111111107</v>
      </c>
      <c r="T63" s="32">
        <v>0.42777777777777776</v>
      </c>
      <c r="U63" s="487">
        <f t="shared" si="38"/>
        <v>7.9999999999999716</v>
      </c>
      <c r="V63" s="493">
        <f t="shared" si="37"/>
        <v>60.000000000000028</v>
      </c>
      <c r="W63" s="16"/>
      <c r="X63" s="16"/>
      <c r="Y63" s="19"/>
      <c r="Z63" s="19"/>
      <c r="AA63" s="612"/>
      <c r="AB63" s="612"/>
      <c r="AC63" s="18"/>
      <c r="AD63" s="18"/>
      <c r="AE63" s="14">
        <f t="shared" si="8"/>
        <v>-86.000000000000909</v>
      </c>
      <c r="AF63" s="488">
        <f t="shared" si="9"/>
        <v>0.95699999999999952</v>
      </c>
      <c r="AG63" s="616"/>
    </row>
    <row r="64" spans="1:33" ht="15.75" customHeight="1">
      <c r="A64" s="621" t="s">
        <v>71</v>
      </c>
      <c r="B64" s="27" t="s">
        <v>8</v>
      </c>
      <c r="C64" s="481" t="s">
        <v>61</v>
      </c>
      <c r="D64" s="482"/>
      <c r="E64" s="27">
        <v>46</v>
      </c>
      <c r="F64" s="30">
        <v>1905</v>
      </c>
      <c r="G64" s="487">
        <f t="shared" si="35"/>
        <v>87630</v>
      </c>
      <c r="H64" s="31" t="s">
        <v>40</v>
      </c>
      <c r="I64" s="492">
        <v>16</v>
      </c>
      <c r="J64" s="29">
        <v>2000</v>
      </c>
      <c r="K64" s="12">
        <f t="shared" si="1"/>
        <v>125</v>
      </c>
      <c r="L64" s="492">
        <v>16</v>
      </c>
      <c r="M64" s="13">
        <f t="shared" si="39"/>
        <v>1904.9999999999991</v>
      </c>
      <c r="N64" s="13">
        <f t="shared" si="3"/>
        <v>119.06249999999994</v>
      </c>
      <c r="O64" s="14">
        <f t="shared" si="4"/>
        <v>0</v>
      </c>
      <c r="P64" s="15">
        <f t="shared" si="5"/>
        <v>-5.9375000000000568</v>
      </c>
      <c r="Q64" s="488">
        <f t="shared" si="6"/>
        <v>0.95249999999999957</v>
      </c>
      <c r="R64" s="616"/>
      <c r="S64" s="32">
        <v>0.43124999999999997</v>
      </c>
      <c r="T64" s="32">
        <v>0.47291666666666665</v>
      </c>
      <c r="U64" s="487">
        <f t="shared" si="38"/>
        <v>4.9999999999999822</v>
      </c>
      <c r="V64" s="493">
        <f t="shared" si="37"/>
        <v>60.000000000000028</v>
      </c>
      <c r="W64" s="16"/>
      <c r="X64" s="16"/>
      <c r="Y64" s="19"/>
      <c r="Z64" s="19"/>
      <c r="AA64" s="612"/>
      <c r="AB64" s="612"/>
      <c r="AC64" s="18"/>
      <c r="AD64" s="18"/>
      <c r="AE64" s="14">
        <f t="shared" si="8"/>
        <v>-95.000000000000909</v>
      </c>
      <c r="AF64" s="488">
        <f t="shared" si="9"/>
        <v>0.95249999999999957</v>
      </c>
      <c r="AG64" s="616"/>
    </row>
    <row r="65" spans="1:33" ht="15.75" customHeight="1">
      <c r="A65" s="621" t="s">
        <v>71</v>
      </c>
      <c r="B65" s="27" t="s">
        <v>8</v>
      </c>
      <c r="C65" s="605" t="s">
        <v>79</v>
      </c>
      <c r="D65" s="606"/>
      <c r="E65" s="27">
        <v>46</v>
      </c>
      <c r="F65" s="30">
        <v>2153</v>
      </c>
      <c r="G65" s="487">
        <f t="shared" si="35"/>
        <v>99038</v>
      </c>
      <c r="H65" s="31" t="s">
        <v>40</v>
      </c>
      <c r="I65" s="492">
        <v>17</v>
      </c>
      <c r="J65" s="29">
        <v>2000</v>
      </c>
      <c r="K65" s="12">
        <f t="shared" si="1"/>
        <v>117.64705882352941</v>
      </c>
      <c r="L65" s="492">
        <v>17</v>
      </c>
      <c r="M65" s="13">
        <f t="shared" si="39"/>
        <v>1928.0597014925397</v>
      </c>
      <c r="N65" s="13">
        <f t="shared" si="3"/>
        <v>113.41527655838469</v>
      </c>
      <c r="O65" s="14">
        <f t="shared" si="4"/>
        <v>0</v>
      </c>
      <c r="P65" s="15">
        <f t="shared" si="5"/>
        <v>-4.2317822651447159</v>
      </c>
      <c r="Q65" s="488">
        <f t="shared" si="6"/>
        <v>0.9640298507462699</v>
      </c>
      <c r="R65" s="616"/>
      <c r="S65" s="32">
        <v>0.4770833333333333</v>
      </c>
      <c r="T65" s="32">
        <v>0.52361111111111103</v>
      </c>
      <c r="U65" s="487">
        <f t="shared" si="38"/>
        <v>5.9999999999999787</v>
      </c>
      <c r="V65" s="493">
        <f t="shared" si="37"/>
        <v>66.999999999999915</v>
      </c>
      <c r="W65" s="16"/>
      <c r="X65" s="16"/>
      <c r="Y65" s="19"/>
      <c r="Z65" s="19"/>
      <c r="AA65" s="607"/>
      <c r="AB65" s="608"/>
      <c r="AC65" s="18"/>
      <c r="AD65" s="18"/>
      <c r="AE65" s="14">
        <f t="shared" si="8"/>
        <v>-71.940298507460284</v>
      </c>
      <c r="AF65" s="488">
        <f t="shared" si="9"/>
        <v>0.9640298507462699</v>
      </c>
      <c r="AG65" s="616"/>
    </row>
    <row r="66" spans="1:33" ht="15.75" customHeight="1">
      <c r="A66" s="621" t="s">
        <v>71</v>
      </c>
      <c r="B66" s="27" t="s">
        <v>5</v>
      </c>
      <c r="C66" s="605" t="s">
        <v>32</v>
      </c>
      <c r="D66" s="606"/>
      <c r="E66" s="27">
        <v>55.56</v>
      </c>
      <c r="F66" s="30">
        <v>1000</v>
      </c>
      <c r="G66" s="487">
        <f t="shared" si="35"/>
        <v>55560</v>
      </c>
      <c r="H66" s="31">
        <v>2</v>
      </c>
      <c r="I66" s="492">
        <v>17</v>
      </c>
      <c r="J66" s="29">
        <v>2000</v>
      </c>
      <c r="K66" s="12">
        <f t="shared" si="1"/>
        <v>117.64705882352941</v>
      </c>
      <c r="L66" s="492">
        <v>17</v>
      </c>
      <c r="M66" s="13">
        <f t="shared" si="39"/>
        <v>1935.483870967739</v>
      </c>
      <c r="N66" s="13">
        <f t="shared" si="3"/>
        <v>113.85199240986699</v>
      </c>
      <c r="O66" s="14">
        <f t="shared" si="4"/>
        <v>0</v>
      </c>
      <c r="P66" s="15">
        <f t="shared" si="5"/>
        <v>-3.7950664136624113</v>
      </c>
      <c r="Q66" s="488">
        <f t="shared" si="6"/>
        <v>0.96774193548386955</v>
      </c>
      <c r="R66" s="616"/>
      <c r="S66" s="32">
        <v>0.70833333333333337</v>
      </c>
      <c r="T66" s="32">
        <v>0.72986111111111118</v>
      </c>
      <c r="U66" s="487" t="str">
        <f t="shared" si="38"/>
        <v/>
      </c>
      <c r="V66" s="493">
        <f t="shared" si="37"/>
        <v>31.00000000000005</v>
      </c>
      <c r="W66" s="16"/>
      <c r="X66" s="16"/>
      <c r="Y66" s="19"/>
      <c r="Z66" s="19"/>
      <c r="AA66" s="607"/>
      <c r="AB66" s="608"/>
      <c r="AC66" s="18"/>
      <c r="AD66" s="18"/>
      <c r="AE66" s="14">
        <f t="shared" si="8"/>
        <v>-64.516129032261006</v>
      </c>
      <c r="AF66" s="488">
        <f t="shared" si="9"/>
        <v>0.96774193548386944</v>
      </c>
      <c r="AG66" s="616"/>
    </row>
    <row r="67" spans="1:33" ht="15.75" customHeight="1">
      <c r="A67" s="621" t="s">
        <v>71</v>
      </c>
      <c r="B67" s="27" t="s">
        <v>5</v>
      </c>
      <c r="C67" s="605" t="s">
        <v>77</v>
      </c>
      <c r="D67" s="606"/>
      <c r="E67" s="27">
        <v>54.09</v>
      </c>
      <c r="F67" s="30">
        <v>1106</v>
      </c>
      <c r="G67" s="487">
        <f t="shared" si="35"/>
        <v>59823.54</v>
      </c>
      <c r="H67" s="31" t="s">
        <v>40</v>
      </c>
      <c r="I67" s="492">
        <v>13</v>
      </c>
      <c r="J67" s="29">
        <v>2000</v>
      </c>
      <c r="K67" s="12">
        <f t="shared" si="1"/>
        <v>153.84615384615384</v>
      </c>
      <c r="L67" s="492">
        <v>13</v>
      </c>
      <c r="M67" s="13">
        <f t="shared" si="39"/>
        <v>1951.7647058823504</v>
      </c>
      <c r="N67" s="13">
        <f t="shared" si="3"/>
        <v>150.13574660633464</v>
      </c>
      <c r="O67" s="14">
        <f t="shared" si="4"/>
        <v>0</v>
      </c>
      <c r="P67" s="15">
        <f t="shared" si="5"/>
        <v>-3.7104072398192045</v>
      </c>
      <c r="Q67" s="488">
        <f t="shared" si="6"/>
        <v>0.9758823529411752</v>
      </c>
      <c r="R67" s="616"/>
      <c r="S67" s="32">
        <v>0.73541666666666672</v>
      </c>
      <c r="T67" s="32">
        <v>0.75902777777777786</v>
      </c>
      <c r="U67" s="487">
        <f t="shared" si="38"/>
        <v>7.9999999999999716</v>
      </c>
      <c r="V67" s="493">
        <f t="shared" si="37"/>
        <v>34.000000000000043</v>
      </c>
      <c r="W67" s="16"/>
      <c r="X67" s="16"/>
      <c r="Y67" s="19"/>
      <c r="Z67" s="19"/>
      <c r="AA67" s="607"/>
      <c r="AB67" s="608"/>
      <c r="AC67" s="18"/>
      <c r="AD67" s="18"/>
      <c r="AE67" s="14">
        <f t="shared" si="8"/>
        <v>-48.235294117649573</v>
      </c>
      <c r="AF67" s="488">
        <f t="shared" si="9"/>
        <v>0.9758823529411752</v>
      </c>
      <c r="AG67" s="616"/>
    </row>
    <row r="68" spans="1:33">
      <c r="A68" s="621" t="s">
        <v>71</v>
      </c>
      <c r="B68" s="27" t="s">
        <v>5</v>
      </c>
      <c r="C68" s="481" t="s">
        <v>62</v>
      </c>
      <c r="D68" s="482"/>
      <c r="E68" s="27">
        <v>51.06</v>
      </c>
      <c r="F68" s="30">
        <v>3160</v>
      </c>
      <c r="G68" s="487">
        <f t="shared" si="35"/>
        <v>161349.6</v>
      </c>
      <c r="H68" s="31" t="s">
        <v>40</v>
      </c>
      <c r="I68" s="492">
        <v>13</v>
      </c>
      <c r="J68" s="29">
        <v>2000</v>
      </c>
      <c r="K68" s="12">
        <f t="shared" si="1"/>
        <v>153.84615384615384</v>
      </c>
      <c r="L68" s="492">
        <v>13</v>
      </c>
      <c r="M68" s="13">
        <f t="shared" si="39"/>
        <v>1915.1515151515157</v>
      </c>
      <c r="N68" s="13">
        <f t="shared" si="3"/>
        <v>147.31934731934737</v>
      </c>
      <c r="O68" s="14">
        <f t="shared" si="4"/>
        <v>0</v>
      </c>
      <c r="P68" s="15">
        <f t="shared" si="5"/>
        <v>-6.5268065268064674</v>
      </c>
      <c r="Q68" s="488">
        <f t="shared" si="6"/>
        <v>0.95757575757575797</v>
      </c>
      <c r="R68" s="616"/>
      <c r="S68" s="32">
        <v>0.76388888888888895</v>
      </c>
      <c r="T68" s="32">
        <v>0.83263888888888893</v>
      </c>
      <c r="U68" s="487">
        <f t="shared" si="38"/>
        <v>6.9999999999999751</v>
      </c>
      <c r="V68" s="493">
        <f t="shared" si="37"/>
        <v>98.999999999999972</v>
      </c>
      <c r="W68" s="16">
        <f>T68</f>
        <v>0.83263888888888893</v>
      </c>
      <c r="X68" s="16">
        <f>S69</f>
        <v>0.87291666666666667</v>
      </c>
      <c r="Y68" s="19"/>
      <c r="Z68" s="19"/>
      <c r="AA68" s="483"/>
      <c r="AB68" s="484"/>
      <c r="AC68" s="18"/>
      <c r="AD68" s="18"/>
      <c r="AE68" s="14">
        <f t="shared" si="8"/>
        <v>-84.848484848484304</v>
      </c>
      <c r="AF68" s="488">
        <f t="shared" si="9"/>
        <v>0.95757575757575786</v>
      </c>
      <c r="AG68" s="616"/>
    </row>
    <row r="69" spans="1:33">
      <c r="A69" s="621" t="s">
        <v>71</v>
      </c>
      <c r="B69" s="27" t="s">
        <v>5</v>
      </c>
      <c r="C69" s="605" t="s">
        <v>32</v>
      </c>
      <c r="D69" s="606"/>
      <c r="E69" s="27">
        <v>55.56</v>
      </c>
      <c r="F69" s="30">
        <v>1448</v>
      </c>
      <c r="G69" s="487">
        <f t="shared" si="35"/>
        <v>80450.880000000005</v>
      </c>
      <c r="H69" s="31" t="s">
        <v>40</v>
      </c>
      <c r="I69" s="492">
        <v>17</v>
      </c>
      <c r="J69" s="29">
        <v>2000</v>
      </c>
      <c r="K69" s="12">
        <f t="shared" ref="K69:K85" si="40">J69/I69</f>
        <v>117.64705882352941</v>
      </c>
      <c r="L69" s="492">
        <v>17</v>
      </c>
      <c r="M69" s="13">
        <f t="shared" si="39"/>
        <v>1930.6666666666665</v>
      </c>
      <c r="N69" s="13">
        <f t="shared" ref="N69:N85" si="41">M69/L69</f>
        <v>113.56862745098039</v>
      </c>
      <c r="O69" s="14">
        <f t="shared" ref="O69:O85" si="42">L69-I69</f>
        <v>0</v>
      </c>
      <c r="P69" s="15">
        <f t="shared" ref="P69:P85" si="43">N69-K69</f>
        <v>-4.0784313725490193</v>
      </c>
      <c r="Q69" s="488">
        <f t="shared" ref="Q69:Q85" si="44">N69/K69</f>
        <v>0.96533333333333338</v>
      </c>
      <c r="R69" s="616"/>
      <c r="S69" s="32">
        <v>0.87291666666666667</v>
      </c>
      <c r="T69" s="32">
        <v>0.90416666666666667</v>
      </c>
      <c r="U69" s="487">
        <f t="shared" si="38"/>
        <v>57.999999999999957</v>
      </c>
      <c r="V69" s="493">
        <f t="shared" si="37"/>
        <v>45</v>
      </c>
      <c r="W69" s="16"/>
      <c r="X69" s="16"/>
      <c r="Y69" s="19"/>
      <c r="Z69" s="19"/>
      <c r="AA69" s="607"/>
      <c r="AB69" s="608"/>
      <c r="AC69" s="18"/>
      <c r="AD69" s="18"/>
      <c r="AE69" s="14">
        <f t="shared" ref="AE69" si="45">M69-J69</f>
        <v>-69.333333333333485</v>
      </c>
      <c r="AF69" s="488">
        <f t="shared" ref="AF69:AF85" si="46">M69/J69</f>
        <v>0.96533333333333327</v>
      </c>
      <c r="AG69" s="616"/>
    </row>
    <row r="70" spans="1:33">
      <c r="A70" s="622" t="s">
        <v>71</v>
      </c>
      <c r="B70" s="27" t="s">
        <v>174</v>
      </c>
      <c r="C70" s="658"/>
      <c r="D70" s="658"/>
      <c r="E70" s="489"/>
      <c r="F70" s="28"/>
      <c r="G70" s="12"/>
      <c r="H70" s="494"/>
      <c r="I70" s="21">
        <v>17.7</v>
      </c>
      <c r="J70" s="29">
        <v>2000</v>
      </c>
      <c r="K70" s="12">
        <f t="shared" si="40"/>
        <v>112.99435028248588</v>
      </c>
      <c r="L70" s="21">
        <v>17.7</v>
      </c>
      <c r="M70" s="13">
        <f>AVERAGE(M60:M69)</f>
        <v>1924.5589206569093</v>
      </c>
      <c r="N70" s="12">
        <f t="shared" si="41"/>
        <v>108.73214240999488</v>
      </c>
      <c r="O70" s="14">
        <f t="shared" si="42"/>
        <v>0</v>
      </c>
      <c r="P70" s="15">
        <f t="shared" si="43"/>
        <v>-4.262207872491004</v>
      </c>
      <c r="Q70" s="488">
        <f t="shared" si="44"/>
        <v>0.96227946032845457</v>
      </c>
      <c r="R70" s="616"/>
      <c r="S70" s="32"/>
      <c r="T70" s="32"/>
      <c r="U70" s="487"/>
      <c r="V70" s="493"/>
      <c r="W70" s="12"/>
      <c r="X70" s="12"/>
      <c r="Y70" s="22">
        <f>SUM(Y60:Y69)</f>
        <v>0</v>
      </c>
      <c r="Z70" s="22">
        <f>SUM(Z60:Z69)</f>
        <v>0</v>
      </c>
      <c r="AA70" s="611"/>
      <c r="AB70" s="611"/>
      <c r="AC70" s="22">
        <v>10</v>
      </c>
      <c r="AD70" s="22">
        <f>SUM(AD60:AD69)</f>
        <v>0</v>
      </c>
      <c r="AE70" s="14">
        <f>M70-J70</f>
        <v>-75.441079343090678</v>
      </c>
      <c r="AF70" s="488">
        <f t="shared" si="46"/>
        <v>0.96227946032845468</v>
      </c>
      <c r="AG70" s="616"/>
    </row>
    <row r="71" spans="1:33" ht="15.75" customHeight="1">
      <c r="A71" s="617" t="s">
        <v>187</v>
      </c>
      <c r="B71" s="494" t="s">
        <v>27</v>
      </c>
      <c r="C71" s="660" t="s">
        <v>28</v>
      </c>
      <c r="D71" s="660"/>
      <c r="E71" s="27">
        <v>35.119999999999997</v>
      </c>
      <c r="F71" s="30">
        <v>4874</v>
      </c>
      <c r="G71" s="487">
        <f t="shared" ref="G71:G74" si="47">E71*F71</f>
        <v>171174.87999999998</v>
      </c>
      <c r="H71" s="31" t="s">
        <v>40</v>
      </c>
      <c r="I71" s="492">
        <v>10</v>
      </c>
      <c r="J71" s="29">
        <v>3000</v>
      </c>
      <c r="K71" s="12">
        <f t="shared" si="40"/>
        <v>300</v>
      </c>
      <c r="L71" s="492">
        <v>10</v>
      </c>
      <c r="M71" s="13">
        <f t="shared" ref="M71:M74" si="48">F71/V71*60</f>
        <v>2867.0588235294117</v>
      </c>
      <c r="N71" s="12">
        <f t="shared" si="41"/>
        <v>286.70588235294116</v>
      </c>
      <c r="O71" s="14">
        <f t="shared" si="42"/>
        <v>0</v>
      </c>
      <c r="P71" s="15">
        <f t="shared" si="43"/>
        <v>-13.29411764705884</v>
      </c>
      <c r="Q71" s="488">
        <f t="shared" si="44"/>
        <v>0.95568627450980381</v>
      </c>
      <c r="R71" s="616">
        <f>Q75</f>
        <v>0.95662502866643739</v>
      </c>
      <c r="S71" s="32">
        <v>0.20833333333333334</v>
      </c>
      <c r="T71" s="32">
        <v>0.27916666666666667</v>
      </c>
      <c r="U71" s="487"/>
      <c r="V71" s="493">
        <f t="shared" ref="V71:V74" si="49">(T71-S71)*24*60</f>
        <v>102</v>
      </c>
      <c r="W71" s="16"/>
      <c r="X71" s="16"/>
      <c r="Y71" s="20"/>
      <c r="Z71" s="20"/>
      <c r="AA71" s="612"/>
      <c r="AB71" s="612"/>
      <c r="AC71" s="18">
        <v>4</v>
      </c>
      <c r="AD71" s="18"/>
      <c r="AE71" s="14">
        <f t="shared" ref="AE71:AE85" si="50">M71-J71</f>
        <v>-132.94117647058829</v>
      </c>
      <c r="AF71" s="488">
        <f t="shared" si="46"/>
        <v>0.95568627450980392</v>
      </c>
      <c r="AG71" s="616">
        <f>AF75</f>
        <v>0.9566250286664375</v>
      </c>
    </row>
    <row r="72" spans="1:33" ht="15.75" customHeight="1">
      <c r="A72" s="617" t="s">
        <v>187</v>
      </c>
      <c r="B72" s="494" t="s">
        <v>27</v>
      </c>
      <c r="C72" s="660" t="s">
        <v>34</v>
      </c>
      <c r="D72" s="660"/>
      <c r="E72" s="27">
        <v>26.78</v>
      </c>
      <c r="F72" s="30">
        <v>2591</v>
      </c>
      <c r="G72" s="487">
        <f t="shared" si="47"/>
        <v>69386.98</v>
      </c>
      <c r="H72" s="31" t="s">
        <v>40</v>
      </c>
      <c r="I72" s="492">
        <v>10</v>
      </c>
      <c r="J72" s="29">
        <v>3000</v>
      </c>
      <c r="K72" s="12">
        <f t="shared" si="40"/>
        <v>300</v>
      </c>
      <c r="L72" s="492">
        <v>10</v>
      </c>
      <c r="M72" s="13">
        <f t="shared" si="48"/>
        <v>2878.8888888888905</v>
      </c>
      <c r="N72" s="12">
        <f t="shared" si="41"/>
        <v>287.88888888888903</v>
      </c>
      <c r="O72" s="14">
        <f t="shared" si="42"/>
        <v>0</v>
      </c>
      <c r="P72" s="15">
        <f t="shared" si="43"/>
        <v>-12.111111111110972</v>
      </c>
      <c r="Q72" s="488">
        <f t="shared" si="44"/>
        <v>0.95962962962963005</v>
      </c>
      <c r="R72" s="616"/>
      <c r="S72" s="32">
        <v>0.28402777777777777</v>
      </c>
      <c r="T72" s="32">
        <v>0.32152777777777775</v>
      </c>
      <c r="U72" s="487">
        <f t="shared" ref="U72:U74" si="51">(S72-T71)*24*60</f>
        <v>6.9999999999999751</v>
      </c>
      <c r="V72" s="493">
        <f t="shared" si="49"/>
        <v>53.999999999999972</v>
      </c>
      <c r="W72" s="487"/>
      <c r="X72" s="487"/>
      <c r="Y72" s="487"/>
      <c r="Z72" s="487"/>
      <c r="AA72" s="612"/>
      <c r="AB72" s="612"/>
      <c r="AC72" s="18"/>
      <c r="AD72" s="18"/>
      <c r="AE72" s="14">
        <f t="shared" si="50"/>
        <v>-121.11111111110949</v>
      </c>
      <c r="AF72" s="488">
        <f t="shared" si="46"/>
        <v>0.95962962962963017</v>
      </c>
      <c r="AG72" s="616"/>
    </row>
    <row r="73" spans="1:33" ht="15.75" customHeight="1">
      <c r="A73" s="617" t="s">
        <v>187</v>
      </c>
      <c r="B73" s="494" t="s">
        <v>27</v>
      </c>
      <c r="C73" s="660" t="s">
        <v>737</v>
      </c>
      <c r="D73" s="660"/>
      <c r="E73" s="27">
        <v>36.14</v>
      </c>
      <c r="F73" s="30">
        <v>1919</v>
      </c>
      <c r="G73" s="487">
        <f t="shared" si="47"/>
        <v>69352.66</v>
      </c>
      <c r="H73" s="31" t="s">
        <v>40</v>
      </c>
      <c r="I73" s="492">
        <v>11</v>
      </c>
      <c r="J73" s="29">
        <v>3000</v>
      </c>
      <c r="K73" s="12">
        <f t="shared" si="40"/>
        <v>272.72727272727275</v>
      </c>
      <c r="L73" s="492">
        <v>11</v>
      </c>
      <c r="M73" s="13">
        <f t="shared" si="48"/>
        <v>2878.4999999999986</v>
      </c>
      <c r="N73" s="12">
        <f t="shared" si="41"/>
        <v>261.68181818181807</v>
      </c>
      <c r="O73" s="14">
        <f t="shared" si="42"/>
        <v>0</v>
      </c>
      <c r="P73" s="15">
        <f t="shared" si="43"/>
        <v>-11.045454545454675</v>
      </c>
      <c r="Q73" s="488">
        <f t="shared" si="44"/>
        <v>0.95949999999999958</v>
      </c>
      <c r="R73" s="616"/>
      <c r="S73" s="32">
        <v>0.32638888888888884</v>
      </c>
      <c r="T73" s="32">
        <v>0.35416666666666663</v>
      </c>
      <c r="U73" s="487">
        <f t="shared" si="51"/>
        <v>6.9999999999999751</v>
      </c>
      <c r="V73" s="493">
        <f t="shared" si="49"/>
        <v>40.000000000000014</v>
      </c>
      <c r="W73" s="487"/>
      <c r="X73" s="487"/>
      <c r="Y73" s="487"/>
      <c r="Z73" s="487"/>
      <c r="AA73" s="612"/>
      <c r="AB73" s="612"/>
      <c r="AC73" s="18"/>
      <c r="AD73" s="18"/>
      <c r="AE73" s="14">
        <f t="shared" si="50"/>
        <v>-121.50000000000136</v>
      </c>
      <c r="AF73" s="488">
        <f t="shared" si="46"/>
        <v>0.95949999999999958</v>
      </c>
      <c r="AG73" s="616"/>
    </row>
    <row r="74" spans="1:33" ht="15.75" customHeight="1">
      <c r="A74" s="617" t="s">
        <v>187</v>
      </c>
      <c r="B74" s="494" t="s">
        <v>27</v>
      </c>
      <c r="C74" s="660" t="s">
        <v>2493</v>
      </c>
      <c r="D74" s="660"/>
      <c r="E74" s="27">
        <v>35.869999999999997</v>
      </c>
      <c r="F74" s="30">
        <v>9041</v>
      </c>
      <c r="G74" s="487">
        <f t="shared" si="47"/>
        <v>324300.67</v>
      </c>
      <c r="H74" s="31" t="s">
        <v>40</v>
      </c>
      <c r="I74" s="492">
        <v>10</v>
      </c>
      <c r="J74" s="29">
        <v>3000</v>
      </c>
      <c r="K74" s="12">
        <f t="shared" si="40"/>
        <v>300</v>
      </c>
      <c r="L74" s="492">
        <v>10</v>
      </c>
      <c r="M74" s="13">
        <f t="shared" si="48"/>
        <v>2855.0526315789475</v>
      </c>
      <c r="N74" s="12">
        <f t="shared" si="41"/>
        <v>285.50526315789477</v>
      </c>
      <c r="O74" s="14">
        <f t="shared" si="42"/>
        <v>0</v>
      </c>
      <c r="P74" s="15">
        <f t="shared" si="43"/>
        <v>-14.494736842105226</v>
      </c>
      <c r="Q74" s="488">
        <f t="shared" si="44"/>
        <v>0.95168421052631591</v>
      </c>
      <c r="R74" s="616"/>
      <c r="S74" s="32">
        <v>0.35972222222222217</v>
      </c>
      <c r="T74" s="32">
        <v>0.49166666666666659</v>
      </c>
      <c r="U74" s="487">
        <f t="shared" si="51"/>
        <v>7.9999999999999716</v>
      </c>
      <c r="V74" s="493">
        <f t="shared" si="49"/>
        <v>189.99999999999997</v>
      </c>
      <c r="W74" s="487"/>
      <c r="X74" s="487"/>
      <c r="Y74" s="487"/>
      <c r="Z74" s="487"/>
      <c r="AA74" s="612"/>
      <c r="AB74" s="612"/>
      <c r="AC74" s="18"/>
      <c r="AD74" s="18"/>
      <c r="AE74" s="14">
        <f t="shared" si="50"/>
        <v>-144.94736842105249</v>
      </c>
      <c r="AF74" s="488">
        <f t="shared" si="46"/>
        <v>0.9516842105263158</v>
      </c>
      <c r="AG74" s="616"/>
    </row>
    <row r="75" spans="1:33">
      <c r="A75" s="618" t="s">
        <v>187</v>
      </c>
      <c r="B75" s="27" t="s">
        <v>174</v>
      </c>
      <c r="C75" s="658"/>
      <c r="D75" s="658"/>
      <c r="E75" s="489"/>
      <c r="F75" s="28"/>
      <c r="G75" s="12"/>
      <c r="H75" s="494"/>
      <c r="I75" s="21">
        <v>10.25</v>
      </c>
      <c r="J75" s="29">
        <v>3000</v>
      </c>
      <c r="K75" s="12">
        <f t="shared" si="40"/>
        <v>292.6829268292683</v>
      </c>
      <c r="L75" s="21">
        <v>10.25</v>
      </c>
      <c r="M75" s="13">
        <f>AVERAGE(M71:M74)</f>
        <v>2869.8750859993124</v>
      </c>
      <c r="N75" s="12">
        <f t="shared" si="41"/>
        <v>279.98781326822558</v>
      </c>
      <c r="O75" s="14">
        <f t="shared" si="42"/>
        <v>0</v>
      </c>
      <c r="P75" s="15">
        <f t="shared" si="43"/>
        <v>-12.695113561042717</v>
      </c>
      <c r="Q75" s="488">
        <f t="shared" si="44"/>
        <v>0.95662502866643739</v>
      </c>
      <c r="R75" s="616"/>
      <c r="S75" s="32"/>
      <c r="T75" s="32"/>
      <c r="U75" s="12"/>
      <c r="V75" s="493"/>
      <c r="W75" s="12"/>
      <c r="X75" s="12"/>
      <c r="Y75" s="22">
        <f>SUM(Y71:Y74)</f>
        <v>0</v>
      </c>
      <c r="Z75" s="22">
        <f>SUM(Z71:Z74)</f>
        <v>0</v>
      </c>
      <c r="AA75" s="611"/>
      <c r="AB75" s="611"/>
      <c r="AC75" s="22">
        <v>4</v>
      </c>
      <c r="AD75" s="22">
        <f>SUM(AD71:AD74)</f>
        <v>0</v>
      </c>
      <c r="AE75" s="14">
        <f t="shared" si="50"/>
        <v>-130.12491400068757</v>
      </c>
      <c r="AF75" s="488">
        <f t="shared" si="46"/>
        <v>0.9566250286664375</v>
      </c>
      <c r="AG75" s="616"/>
    </row>
    <row r="76" spans="1:33" ht="15.75" customHeight="1">
      <c r="A76" s="613" t="s">
        <v>73</v>
      </c>
      <c r="B76" s="494" t="s">
        <v>20</v>
      </c>
      <c r="C76" s="660" t="s">
        <v>39</v>
      </c>
      <c r="D76" s="660"/>
      <c r="E76" s="27">
        <v>19.02</v>
      </c>
      <c r="F76" s="494">
        <v>5900</v>
      </c>
      <c r="G76" s="487">
        <f t="shared" ref="G76:G84" si="52">E76*F76</f>
        <v>112218</v>
      </c>
      <c r="H76" s="31">
        <v>2</v>
      </c>
      <c r="I76" s="492">
        <v>14</v>
      </c>
      <c r="J76" s="29">
        <v>2400</v>
      </c>
      <c r="K76" s="12">
        <f t="shared" si="40"/>
        <v>171.42857142857142</v>
      </c>
      <c r="L76" s="492">
        <v>14</v>
      </c>
      <c r="M76" s="13">
        <f t="shared" ref="M76:M84" si="53">F76/V76*60</f>
        <v>2298.701298701299</v>
      </c>
      <c r="N76" s="12">
        <f t="shared" si="41"/>
        <v>164.19294990723566</v>
      </c>
      <c r="O76" s="14">
        <f t="shared" si="42"/>
        <v>0</v>
      </c>
      <c r="P76" s="15">
        <f t="shared" si="43"/>
        <v>-7.2356215213357586</v>
      </c>
      <c r="Q76" s="488">
        <f t="shared" si="44"/>
        <v>0.95779220779220808</v>
      </c>
      <c r="R76" s="616">
        <f>Q85</f>
        <v>0.95721048922829466</v>
      </c>
      <c r="S76" s="32">
        <v>8.3333333333333329E-2</v>
      </c>
      <c r="T76" s="32">
        <v>0.19027777777777777</v>
      </c>
      <c r="U76" s="20"/>
      <c r="V76" s="493">
        <f t="shared" ref="V76:V84" si="54">(T76-S76)*24*60</f>
        <v>154</v>
      </c>
      <c r="W76" s="16">
        <f>T76</f>
        <v>0.19027777777777777</v>
      </c>
      <c r="X76" s="16">
        <f>S77</f>
        <v>0.20833333333333331</v>
      </c>
      <c r="Y76" s="16"/>
      <c r="Z76" s="16"/>
      <c r="AA76" s="612"/>
      <c r="AB76" s="612"/>
      <c r="AC76" s="18">
        <v>9</v>
      </c>
      <c r="AD76" s="18"/>
      <c r="AE76" s="14">
        <f t="shared" si="50"/>
        <v>-101.29870129870096</v>
      </c>
      <c r="AF76" s="488">
        <f t="shared" si="46"/>
        <v>0.95779220779220797</v>
      </c>
      <c r="AG76" s="616">
        <f>AF85</f>
        <v>0.95721048922829466</v>
      </c>
    </row>
    <row r="77" spans="1:33" ht="15.75" customHeight="1">
      <c r="A77" s="614" t="s">
        <v>73</v>
      </c>
      <c r="B77" s="494" t="s">
        <v>20</v>
      </c>
      <c r="C77" s="660" t="s">
        <v>24</v>
      </c>
      <c r="D77" s="660"/>
      <c r="E77" s="27">
        <v>20.36</v>
      </c>
      <c r="F77" s="494">
        <v>2500</v>
      </c>
      <c r="G77" s="487">
        <f t="shared" si="52"/>
        <v>50900</v>
      </c>
      <c r="H77" s="31">
        <v>2</v>
      </c>
      <c r="I77" s="492">
        <v>17</v>
      </c>
      <c r="J77" s="29">
        <v>2400</v>
      </c>
      <c r="K77" s="12">
        <f t="shared" si="40"/>
        <v>141.1764705882353</v>
      </c>
      <c r="L77" s="492">
        <v>17</v>
      </c>
      <c r="M77" s="13">
        <f t="shared" si="53"/>
        <v>2307.6923076923072</v>
      </c>
      <c r="N77" s="12">
        <f t="shared" si="41"/>
        <v>135.7466063348416</v>
      </c>
      <c r="O77" s="14">
        <f t="shared" si="42"/>
        <v>0</v>
      </c>
      <c r="P77" s="15">
        <f t="shared" si="43"/>
        <v>-5.4298642533937027</v>
      </c>
      <c r="Q77" s="488">
        <f t="shared" si="44"/>
        <v>0.96153846153846123</v>
      </c>
      <c r="R77" s="616"/>
      <c r="S77" s="32">
        <v>0.20833333333333331</v>
      </c>
      <c r="T77" s="32">
        <v>0.25347222222222221</v>
      </c>
      <c r="U77" s="487">
        <f t="shared" ref="U77:U84" si="55">(S77-T76)*24*60</f>
        <v>25.999999999999986</v>
      </c>
      <c r="V77" s="493">
        <f t="shared" si="54"/>
        <v>65.000000000000014</v>
      </c>
      <c r="W77" s="16"/>
      <c r="X77" s="16"/>
      <c r="Y77" s="16"/>
      <c r="Z77" s="16"/>
      <c r="AA77" s="612"/>
      <c r="AB77" s="612"/>
      <c r="AC77" s="18"/>
      <c r="AD77" s="18"/>
      <c r="AE77" s="14">
        <f t="shared" si="50"/>
        <v>-92.307692307692832</v>
      </c>
      <c r="AF77" s="488">
        <f t="shared" si="46"/>
        <v>0.96153846153846134</v>
      </c>
      <c r="AG77" s="616"/>
    </row>
    <row r="78" spans="1:33" ht="15.75" customHeight="1">
      <c r="A78" s="614" t="s">
        <v>73</v>
      </c>
      <c r="B78" s="494" t="s">
        <v>20</v>
      </c>
      <c r="C78" s="660" t="s">
        <v>80</v>
      </c>
      <c r="D78" s="660"/>
      <c r="E78" s="27">
        <v>25.98</v>
      </c>
      <c r="F78" s="494">
        <v>1800</v>
      </c>
      <c r="G78" s="487">
        <f t="shared" si="52"/>
        <v>46764</v>
      </c>
      <c r="H78" s="31">
        <v>2</v>
      </c>
      <c r="I78" s="492">
        <v>17</v>
      </c>
      <c r="J78" s="29">
        <v>2400</v>
      </c>
      <c r="K78" s="12">
        <f t="shared" si="40"/>
        <v>141.1764705882353</v>
      </c>
      <c r="L78" s="492">
        <v>17</v>
      </c>
      <c r="M78" s="13">
        <f t="shared" si="53"/>
        <v>2297.872340425532</v>
      </c>
      <c r="N78" s="12">
        <f t="shared" si="41"/>
        <v>135.16896120150187</v>
      </c>
      <c r="O78" s="14">
        <f t="shared" si="42"/>
        <v>0</v>
      </c>
      <c r="P78" s="15">
        <f t="shared" si="43"/>
        <v>-6.0075093867334317</v>
      </c>
      <c r="Q78" s="488">
        <f t="shared" si="44"/>
        <v>0.95744680851063824</v>
      </c>
      <c r="R78" s="616"/>
      <c r="S78" s="32">
        <v>0.2583333333333333</v>
      </c>
      <c r="T78" s="32">
        <v>0.29097222222222219</v>
      </c>
      <c r="U78" s="487">
        <f t="shared" si="55"/>
        <v>6.9999999999999751</v>
      </c>
      <c r="V78" s="493">
        <f t="shared" si="54"/>
        <v>46.999999999999993</v>
      </c>
      <c r="W78" s="16"/>
      <c r="X78" s="16"/>
      <c r="Y78" s="16"/>
      <c r="Z78" s="16"/>
      <c r="AA78" s="612"/>
      <c r="AB78" s="612"/>
      <c r="AC78" s="18"/>
      <c r="AD78" s="18"/>
      <c r="AE78" s="14">
        <f t="shared" si="50"/>
        <v>-102.127659574468</v>
      </c>
      <c r="AF78" s="488">
        <f t="shared" si="46"/>
        <v>0.95744680851063835</v>
      </c>
      <c r="AG78" s="616"/>
    </row>
    <row r="79" spans="1:33" ht="15.75" customHeight="1">
      <c r="A79" s="614" t="s">
        <v>73</v>
      </c>
      <c r="B79" s="494" t="s">
        <v>20</v>
      </c>
      <c r="C79" s="660" t="s">
        <v>739</v>
      </c>
      <c r="D79" s="660"/>
      <c r="E79" s="27">
        <v>28.29</v>
      </c>
      <c r="F79" s="494">
        <v>2800</v>
      </c>
      <c r="G79" s="487">
        <f t="shared" si="52"/>
        <v>79212</v>
      </c>
      <c r="H79" s="31">
        <v>2</v>
      </c>
      <c r="I79" s="492">
        <v>21</v>
      </c>
      <c r="J79" s="29">
        <v>2400</v>
      </c>
      <c r="K79" s="12">
        <f t="shared" si="40"/>
        <v>114.28571428571429</v>
      </c>
      <c r="L79" s="492">
        <v>21</v>
      </c>
      <c r="M79" s="13">
        <f t="shared" si="53"/>
        <v>2301.3698630136987</v>
      </c>
      <c r="N79" s="12">
        <f t="shared" si="41"/>
        <v>109.58904109589041</v>
      </c>
      <c r="O79" s="14">
        <f t="shared" si="42"/>
        <v>0</v>
      </c>
      <c r="P79" s="15">
        <f t="shared" si="43"/>
        <v>-4.6966731898238834</v>
      </c>
      <c r="Q79" s="488">
        <f t="shared" si="44"/>
        <v>0.95890410958904104</v>
      </c>
      <c r="R79" s="616"/>
      <c r="S79" s="32">
        <v>0.2944444444444444</v>
      </c>
      <c r="T79" s="32">
        <v>0.34513888888888883</v>
      </c>
      <c r="U79" s="487">
        <f t="shared" si="55"/>
        <v>4.9999999999999822</v>
      </c>
      <c r="V79" s="493">
        <f t="shared" si="54"/>
        <v>72.999999999999986</v>
      </c>
      <c r="W79" s="16"/>
      <c r="X79" s="16"/>
      <c r="Y79" s="16"/>
      <c r="Z79" s="16"/>
      <c r="AA79" s="612"/>
      <c r="AB79" s="612"/>
      <c r="AC79" s="18"/>
      <c r="AD79" s="18"/>
      <c r="AE79" s="14">
        <f t="shared" si="50"/>
        <v>-98.630136986301295</v>
      </c>
      <c r="AF79" s="488">
        <f t="shared" si="46"/>
        <v>0.95890410958904115</v>
      </c>
      <c r="AG79" s="616"/>
    </row>
    <row r="80" spans="1:33" ht="15.75" customHeight="1">
      <c r="A80" s="614" t="s">
        <v>73</v>
      </c>
      <c r="B80" s="494" t="s">
        <v>20</v>
      </c>
      <c r="C80" s="660" t="s">
        <v>1420</v>
      </c>
      <c r="D80" s="660"/>
      <c r="E80" s="27">
        <v>24.25</v>
      </c>
      <c r="F80" s="494">
        <v>2600</v>
      </c>
      <c r="G80" s="487">
        <f t="shared" si="52"/>
        <v>63050</v>
      </c>
      <c r="H80" s="31">
        <v>2</v>
      </c>
      <c r="I80" s="492">
        <v>17</v>
      </c>
      <c r="J80" s="29">
        <v>2400</v>
      </c>
      <c r="K80" s="12">
        <f t="shared" si="40"/>
        <v>141.1764705882353</v>
      </c>
      <c r="L80" s="492">
        <v>17</v>
      </c>
      <c r="M80" s="13">
        <f t="shared" si="53"/>
        <v>2294.1176470588234</v>
      </c>
      <c r="N80" s="12">
        <f t="shared" si="41"/>
        <v>134.94809688581313</v>
      </c>
      <c r="O80" s="14">
        <f t="shared" si="42"/>
        <v>0</v>
      </c>
      <c r="P80" s="15">
        <f t="shared" si="43"/>
        <v>-6.228373702422175</v>
      </c>
      <c r="Q80" s="488">
        <f t="shared" si="44"/>
        <v>0.95588235294117629</v>
      </c>
      <c r="R80" s="616"/>
      <c r="S80" s="32">
        <v>0.34861111111111104</v>
      </c>
      <c r="T80" s="32">
        <v>0.39583333333333326</v>
      </c>
      <c r="U80" s="487">
        <f t="shared" si="55"/>
        <v>4.9999999999999822</v>
      </c>
      <c r="V80" s="493">
        <f t="shared" si="54"/>
        <v>68</v>
      </c>
      <c r="W80" s="16"/>
      <c r="X80" s="16"/>
      <c r="Y80" s="16"/>
      <c r="Z80" s="16"/>
      <c r="AA80" s="612"/>
      <c r="AB80" s="612"/>
      <c r="AC80" s="18"/>
      <c r="AD80" s="18"/>
      <c r="AE80" s="14">
        <f t="shared" si="50"/>
        <v>-105.88235294117658</v>
      </c>
      <c r="AF80" s="488">
        <f t="shared" si="46"/>
        <v>0.95588235294117641</v>
      </c>
      <c r="AG80" s="616"/>
    </row>
    <row r="81" spans="1:33" ht="15.75" customHeight="1">
      <c r="A81" s="614" t="s">
        <v>73</v>
      </c>
      <c r="B81" s="494" t="s">
        <v>20</v>
      </c>
      <c r="C81" s="660" t="s">
        <v>2494</v>
      </c>
      <c r="D81" s="660"/>
      <c r="E81" s="27">
        <v>23.89</v>
      </c>
      <c r="F81" s="494">
        <v>5700</v>
      </c>
      <c r="G81" s="487">
        <f t="shared" si="52"/>
        <v>136173</v>
      </c>
      <c r="H81" s="31">
        <v>2</v>
      </c>
      <c r="I81" s="492">
        <v>13</v>
      </c>
      <c r="J81" s="29">
        <v>2400</v>
      </c>
      <c r="K81" s="12">
        <f t="shared" si="40"/>
        <v>184.61538461538461</v>
      </c>
      <c r="L81" s="492">
        <v>13</v>
      </c>
      <c r="M81" s="13">
        <f t="shared" si="53"/>
        <v>2295.3020134228195</v>
      </c>
      <c r="N81" s="12">
        <f t="shared" si="41"/>
        <v>176.56169334021689</v>
      </c>
      <c r="O81" s="14">
        <f t="shared" si="42"/>
        <v>0</v>
      </c>
      <c r="P81" s="15">
        <f t="shared" si="43"/>
        <v>-8.0536912751677221</v>
      </c>
      <c r="Q81" s="488">
        <f t="shared" si="44"/>
        <v>0.95637583892617484</v>
      </c>
      <c r="R81" s="616"/>
      <c r="S81" s="32">
        <v>0.39999999999999991</v>
      </c>
      <c r="T81" s="32">
        <v>0.5034722222222221</v>
      </c>
      <c r="U81" s="487">
        <f t="shared" si="55"/>
        <v>5.9999999999999787</v>
      </c>
      <c r="V81" s="493">
        <f t="shared" si="54"/>
        <v>148.99999999999994</v>
      </c>
      <c r="W81" s="16">
        <f>T81</f>
        <v>0.5034722222222221</v>
      </c>
      <c r="X81" s="16">
        <f>S82</f>
        <v>0.54374999999999984</v>
      </c>
      <c r="Y81" s="16"/>
      <c r="Z81" s="16"/>
      <c r="AA81" s="612"/>
      <c r="AB81" s="612"/>
      <c r="AC81" s="18"/>
      <c r="AD81" s="18"/>
      <c r="AE81" s="14">
        <f t="shared" si="50"/>
        <v>-104.69798657718047</v>
      </c>
      <c r="AF81" s="488">
        <f t="shared" si="46"/>
        <v>0.95637583892617484</v>
      </c>
      <c r="AG81" s="616"/>
    </row>
    <row r="82" spans="1:33" ht="15.75" customHeight="1">
      <c r="A82" s="614" t="s">
        <v>73</v>
      </c>
      <c r="B82" s="494" t="s">
        <v>20</v>
      </c>
      <c r="C82" s="605" t="s">
        <v>39</v>
      </c>
      <c r="D82" s="606"/>
      <c r="E82" s="27">
        <v>19.02</v>
      </c>
      <c r="F82" s="494">
        <v>4911</v>
      </c>
      <c r="G82" s="487">
        <f t="shared" si="52"/>
        <v>93407.22</v>
      </c>
      <c r="H82" s="31" t="s">
        <v>40</v>
      </c>
      <c r="I82" s="492">
        <v>14</v>
      </c>
      <c r="J82" s="29">
        <v>2400</v>
      </c>
      <c r="K82" s="12">
        <f t="shared" si="40"/>
        <v>171.42857142857142</v>
      </c>
      <c r="L82" s="492">
        <v>14</v>
      </c>
      <c r="M82" s="13">
        <f t="shared" si="53"/>
        <v>2284.1860465116274</v>
      </c>
      <c r="N82" s="12">
        <f t="shared" si="41"/>
        <v>163.15614617940196</v>
      </c>
      <c r="O82" s="14">
        <f t="shared" si="42"/>
        <v>0</v>
      </c>
      <c r="P82" s="15">
        <f t="shared" si="43"/>
        <v>-8.2724252491694585</v>
      </c>
      <c r="Q82" s="488">
        <f t="shared" si="44"/>
        <v>0.95174418604651145</v>
      </c>
      <c r="R82" s="616"/>
      <c r="S82" s="32">
        <v>0.54374999999999984</v>
      </c>
      <c r="T82" s="32">
        <v>0.63333333333333319</v>
      </c>
      <c r="U82" s="487">
        <f t="shared" si="55"/>
        <v>57.999999999999957</v>
      </c>
      <c r="V82" s="493">
        <f t="shared" si="54"/>
        <v>129.00000000000003</v>
      </c>
      <c r="W82" s="16"/>
      <c r="X82" s="16"/>
      <c r="Y82" s="19"/>
      <c r="Z82" s="19"/>
      <c r="AA82" s="607"/>
      <c r="AB82" s="608"/>
      <c r="AC82" s="18"/>
      <c r="AD82" s="18"/>
      <c r="AE82" s="14">
        <f t="shared" si="50"/>
        <v>-115.81395348837259</v>
      </c>
      <c r="AF82" s="488">
        <f t="shared" si="46"/>
        <v>0.95174418604651145</v>
      </c>
      <c r="AG82" s="616"/>
    </row>
    <row r="83" spans="1:33" ht="15.75" customHeight="1">
      <c r="A83" s="614" t="s">
        <v>73</v>
      </c>
      <c r="B83" s="494" t="s">
        <v>20</v>
      </c>
      <c r="C83" s="605" t="s">
        <v>1420</v>
      </c>
      <c r="D83" s="606"/>
      <c r="E83" s="27">
        <v>24.25</v>
      </c>
      <c r="F83" s="494">
        <v>2077</v>
      </c>
      <c r="G83" s="487">
        <f t="shared" si="52"/>
        <v>50367.25</v>
      </c>
      <c r="H83" s="31" t="s">
        <v>40</v>
      </c>
      <c r="I83" s="492">
        <v>17</v>
      </c>
      <c r="J83" s="29">
        <v>2400</v>
      </c>
      <c r="K83" s="12">
        <f t="shared" si="40"/>
        <v>141.1764705882353</v>
      </c>
      <c r="L83" s="492">
        <v>17</v>
      </c>
      <c r="M83" s="13">
        <f t="shared" si="53"/>
        <v>2307.7777777777792</v>
      </c>
      <c r="N83" s="12">
        <f t="shared" si="41"/>
        <v>135.7516339869282</v>
      </c>
      <c r="O83" s="14">
        <f t="shared" si="42"/>
        <v>0</v>
      </c>
      <c r="P83" s="15">
        <f t="shared" si="43"/>
        <v>-5.4248366013071063</v>
      </c>
      <c r="Q83" s="488">
        <f t="shared" si="44"/>
        <v>0.96157407407407469</v>
      </c>
      <c r="R83" s="616"/>
      <c r="S83" s="32">
        <v>0.63888888888888873</v>
      </c>
      <c r="T83" s="32">
        <v>0.67638888888888871</v>
      </c>
      <c r="U83" s="487">
        <f t="shared" si="55"/>
        <v>7.9999999999999716</v>
      </c>
      <c r="V83" s="493">
        <f t="shared" si="54"/>
        <v>53.999999999999972</v>
      </c>
      <c r="W83" s="16"/>
      <c r="X83" s="16"/>
      <c r="Y83" s="19"/>
      <c r="Z83" s="19"/>
      <c r="AA83" s="607"/>
      <c r="AB83" s="608"/>
      <c r="AC83" s="18"/>
      <c r="AD83" s="18"/>
      <c r="AE83" s="14">
        <f t="shared" si="50"/>
        <v>-92.222222222220807</v>
      </c>
      <c r="AF83" s="488">
        <f t="shared" si="46"/>
        <v>0.96157407407407469</v>
      </c>
      <c r="AG83" s="616"/>
    </row>
    <row r="84" spans="1:33" ht="15.75" customHeight="1">
      <c r="A84" s="614" t="s">
        <v>73</v>
      </c>
      <c r="B84" s="494" t="s">
        <v>20</v>
      </c>
      <c r="C84" s="605" t="s">
        <v>2494</v>
      </c>
      <c r="D84" s="606"/>
      <c r="E84" s="27">
        <v>23.89</v>
      </c>
      <c r="F84" s="494">
        <v>4196</v>
      </c>
      <c r="G84" s="487">
        <f t="shared" si="52"/>
        <v>100242.44</v>
      </c>
      <c r="H84" s="31" t="s">
        <v>40</v>
      </c>
      <c r="I84" s="492">
        <v>13</v>
      </c>
      <c r="J84" s="29">
        <v>2400</v>
      </c>
      <c r="K84" s="12">
        <f t="shared" si="40"/>
        <v>184.61538461538461</v>
      </c>
      <c r="L84" s="492">
        <v>13</v>
      </c>
      <c r="M84" s="13">
        <f t="shared" si="53"/>
        <v>2288.7272727272743</v>
      </c>
      <c r="N84" s="12">
        <f t="shared" si="41"/>
        <v>176.05594405594417</v>
      </c>
      <c r="O84" s="14">
        <f t="shared" si="42"/>
        <v>0</v>
      </c>
      <c r="P84" s="15">
        <f t="shared" si="43"/>
        <v>-8.5594405594404463</v>
      </c>
      <c r="Q84" s="488">
        <f t="shared" si="44"/>
        <v>0.95363636363636428</v>
      </c>
      <c r="R84" s="616"/>
      <c r="S84" s="32">
        <v>0.68194444444444424</v>
      </c>
      <c r="T84" s="32">
        <v>0.75833333333333308</v>
      </c>
      <c r="U84" s="487">
        <f t="shared" si="55"/>
        <v>7.9999999999999716</v>
      </c>
      <c r="V84" s="493">
        <f t="shared" si="54"/>
        <v>109.99999999999993</v>
      </c>
      <c r="W84" s="16"/>
      <c r="X84" s="16"/>
      <c r="Y84" s="19"/>
      <c r="Z84" s="19"/>
      <c r="AA84" s="607"/>
      <c r="AB84" s="608"/>
      <c r="AC84" s="18"/>
      <c r="AD84" s="18"/>
      <c r="AE84" s="14">
        <f t="shared" si="50"/>
        <v>-111.27272727272566</v>
      </c>
      <c r="AF84" s="488">
        <f t="shared" si="46"/>
        <v>0.95363636363636428</v>
      </c>
      <c r="AG84" s="616"/>
    </row>
    <row r="85" spans="1:33" ht="16.5" customHeight="1">
      <c r="A85" s="615" t="s">
        <v>73</v>
      </c>
      <c r="B85" s="27" t="s">
        <v>174</v>
      </c>
      <c r="C85" s="609"/>
      <c r="D85" s="610"/>
      <c r="E85" s="489"/>
      <c r="F85" s="28"/>
      <c r="G85" s="12"/>
      <c r="H85" s="494"/>
      <c r="I85" s="21">
        <v>15.888888888888889</v>
      </c>
      <c r="J85" s="29">
        <v>2400</v>
      </c>
      <c r="K85" s="12">
        <f t="shared" si="40"/>
        <v>151.04895104895104</v>
      </c>
      <c r="L85" s="21">
        <v>15.888888888888889</v>
      </c>
      <c r="M85" s="13">
        <f>AVERAGE(M76:M84)</f>
        <v>2297.3051741479071</v>
      </c>
      <c r="N85" s="12">
        <f t="shared" si="41"/>
        <v>144.58564033098716</v>
      </c>
      <c r="O85" s="14">
        <f t="shared" si="42"/>
        <v>0</v>
      </c>
      <c r="P85" s="15">
        <f t="shared" si="43"/>
        <v>-6.4633107179638785</v>
      </c>
      <c r="Q85" s="488">
        <f t="shared" si="44"/>
        <v>0.95721048922829466</v>
      </c>
      <c r="R85" s="616"/>
      <c r="S85" s="32"/>
      <c r="T85" s="32"/>
      <c r="U85" s="12"/>
      <c r="V85" s="493"/>
      <c r="W85" s="12"/>
      <c r="X85" s="12"/>
      <c r="Y85" s="22">
        <f>SUM(Y76:Y84)</f>
        <v>0</v>
      </c>
      <c r="Z85" s="22">
        <f>SUM(Z76:Z84)</f>
        <v>0</v>
      </c>
      <c r="AA85" s="611"/>
      <c r="AB85" s="611"/>
      <c r="AC85" s="22">
        <v>9</v>
      </c>
      <c r="AD85" s="22">
        <f>SUM(AD76:AD84)</f>
        <v>0</v>
      </c>
      <c r="AE85" s="14">
        <f t="shared" si="50"/>
        <v>-102.69482585209289</v>
      </c>
      <c r="AF85" s="488">
        <f t="shared" si="46"/>
        <v>0.95721048922829466</v>
      </c>
      <c r="AG85" s="616"/>
    </row>
    <row r="86" spans="1:33">
      <c r="B86" s="91"/>
      <c r="C86" s="91"/>
      <c r="D86" s="496"/>
      <c r="E86" s="496"/>
      <c r="F86" s="91"/>
    </row>
  </sheetData>
  <mergeCells count="210">
    <mergeCell ref="A76:A85"/>
    <mergeCell ref="C76:D76"/>
    <mergeCell ref="R76:R85"/>
    <mergeCell ref="AA76:AB76"/>
    <mergeCell ref="AG76:AG85"/>
    <mergeCell ref="C77:D77"/>
    <mergeCell ref="AA77:AB77"/>
    <mergeCell ref="C78:D78"/>
    <mergeCell ref="AA78:AB78"/>
    <mergeCell ref="C79:D79"/>
    <mergeCell ref="C83:D83"/>
    <mergeCell ref="AA83:AB83"/>
    <mergeCell ref="C84:D84"/>
    <mergeCell ref="AA84:AB84"/>
    <mergeCell ref="C85:D85"/>
    <mergeCell ref="AA85:AB85"/>
    <mergeCell ref="AA79:AB79"/>
    <mergeCell ref="C80:D80"/>
    <mergeCell ref="AA80:AB80"/>
    <mergeCell ref="C81:D81"/>
    <mergeCell ref="AA81:AB81"/>
    <mergeCell ref="C82:D82"/>
    <mergeCell ref="AA82:AB82"/>
    <mergeCell ref="AG71:AG75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AA70:AB70"/>
    <mergeCell ref="A71:A75"/>
    <mergeCell ref="C71:D71"/>
    <mergeCell ref="R71:R75"/>
    <mergeCell ref="AA71:AB71"/>
    <mergeCell ref="AA64:AB64"/>
    <mergeCell ref="C65:D65"/>
    <mergeCell ref="AA65:AB65"/>
    <mergeCell ref="C66:D66"/>
    <mergeCell ref="AA66:AB66"/>
    <mergeCell ref="C67:D67"/>
    <mergeCell ref="AA67:AB67"/>
    <mergeCell ref="A60:A70"/>
    <mergeCell ref="C60:D60"/>
    <mergeCell ref="R60:R70"/>
    <mergeCell ref="AA60:AB60"/>
    <mergeCell ref="A54:A59"/>
    <mergeCell ref="C54:D54"/>
    <mergeCell ref="R54:R59"/>
    <mergeCell ref="AA54:AB54"/>
    <mergeCell ref="AA59:AB59"/>
    <mergeCell ref="AG60:AG70"/>
    <mergeCell ref="C61:D61"/>
    <mergeCell ref="AA61:AB61"/>
    <mergeCell ref="C62:D62"/>
    <mergeCell ref="AA62:AB62"/>
    <mergeCell ref="AA63:AB63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C69:D69"/>
    <mergeCell ref="AA69:AB69"/>
    <mergeCell ref="C70:D70"/>
    <mergeCell ref="A43:A53"/>
    <mergeCell ref="C43:D43"/>
    <mergeCell ref="R43:R53"/>
    <mergeCell ref="AA43:AB43"/>
    <mergeCell ref="AA48:AB48"/>
    <mergeCell ref="C49:D49"/>
    <mergeCell ref="AA49:AB49"/>
    <mergeCell ref="C50:D50"/>
    <mergeCell ref="AG43:AG53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50:AB50"/>
    <mergeCell ref="C51:D51"/>
    <mergeCell ref="C52:D52"/>
    <mergeCell ref="C53:D53"/>
    <mergeCell ref="AA53:AB53"/>
    <mergeCell ref="AG33:AG42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C42:D42"/>
    <mergeCell ref="AA42:AB42"/>
    <mergeCell ref="A25:A32"/>
    <mergeCell ref="C25:D25"/>
    <mergeCell ref="R25:R32"/>
    <mergeCell ref="AA25:AB25"/>
    <mergeCell ref="C32:D32"/>
    <mergeCell ref="AA32:AB32"/>
    <mergeCell ref="A33:A42"/>
    <mergeCell ref="C33:D33"/>
    <mergeCell ref="R33:R42"/>
    <mergeCell ref="AA33:AB33"/>
    <mergeCell ref="AA38:AB38"/>
    <mergeCell ref="C39:D39"/>
    <mergeCell ref="AA39:AB39"/>
    <mergeCell ref="C41:D41"/>
    <mergeCell ref="AG25:AG32"/>
    <mergeCell ref="C26:D26"/>
    <mergeCell ref="AA26:AB26"/>
    <mergeCell ref="C27:D27"/>
    <mergeCell ref="AA27:AB27"/>
    <mergeCell ref="C28:D28"/>
    <mergeCell ref="AG16:AG24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16:A24"/>
    <mergeCell ref="C16:D16"/>
    <mergeCell ref="R16:R24"/>
    <mergeCell ref="AA16:AB16"/>
    <mergeCell ref="AA24:AB24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74:O81 O70:O71 O85 O5:O10 O15:O17 O24:O40 O42:O65">
    <cfRule type="cellIs" dxfId="1961" priority="87" operator="greaterThan">
      <formula>0</formula>
    </cfRule>
  </conditionalFormatting>
  <conditionalFormatting sqref="P5:P8 P74 AE74 P76:P81 P33:P40 P71 P10 P15:P17 P25:P31 P60:P65 P43:P58 AE5:AE71 AE76:AE85">
    <cfRule type="cellIs" dxfId="1960" priority="91" operator="lessThan">
      <formula>0</formula>
    </cfRule>
  </conditionalFormatting>
  <conditionalFormatting sqref="AF74 Q74:Q81 Q70:Q71 Q85 Q5:Q10 Q15:Q17 Q24:Q40 Q42:Q65 AF5:AF71 AF76:AF85">
    <cfRule type="cellIs" dxfId="1959" priority="88" operator="greaterThan">
      <formula>1</formula>
    </cfRule>
    <cfRule type="cellIs" dxfId="1958" priority="89" operator="lessThan">
      <formula>0.8</formula>
    </cfRule>
  </conditionalFormatting>
  <conditionalFormatting sqref="AG16:AG17 R16:R17 AG74 R74:R81 R24:R30 AG24:AG30 AG32:AG40 R32:R40 R42:R50 AG42:AG50 AG70:AG71 R70:R71 R85 AG5:AG10 R5:R10 AG53:AG65 R53:R65">
    <cfRule type="cellIs" dxfId="1957" priority="93" operator="lessThan">
      <formula>0.8</formula>
    </cfRule>
  </conditionalFormatting>
  <conditionalFormatting sqref="AG54">
    <cfRule type="cellIs" dxfId="1956" priority="95" operator="lessThan">
      <formula>0.8</formula>
    </cfRule>
  </conditionalFormatting>
  <conditionalFormatting sqref="AG25:AG30">
    <cfRule type="cellIs" dxfId="1955" priority="92" operator="lessThan">
      <formula>0.8</formula>
    </cfRule>
  </conditionalFormatting>
  <conditionalFormatting sqref="AG33">
    <cfRule type="cellIs" dxfId="1954" priority="94" operator="lessThan">
      <formula>0.8</formula>
    </cfRule>
  </conditionalFormatting>
  <conditionalFormatting sqref="AG43:AG50">
    <cfRule type="cellIs" dxfId="1953" priority="90" operator="lessThan">
      <formula>0.8</formula>
    </cfRule>
  </conditionalFormatting>
  <conditionalFormatting sqref="AE75">
    <cfRule type="cellIs" dxfId="1952" priority="86" operator="lessThan">
      <formula>0</formula>
    </cfRule>
  </conditionalFormatting>
  <conditionalFormatting sqref="AF75">
    <cfRule type="cellIs" dxfId="1951" priority="84" operator="greaterThan">
      <formula>1</formula>
    </cfRule>
    <cfRule type="cellIs" dxfId="1950" priority="85" operator="lessThan">
      <formula>0.8</formula>
    </cfRule>
  </conditionalFormatting>
  <conditionalFormatting sqref="O18:O19">
    <cfRule type="cellIs" dxfId="1949" priority="79" operator="greaterThan">
      <formula>0</formula>
    </cfRule>
  </conditionalFormatting>
  <conditionalFormatting sqref="P18:P19">
    <cfRule type="cellIs" dxfId="1948" priority="82" operator="lessThan">
      <formula>0</formula>
    </cfRule>
  </conditionalFormatting>
  <conditionalFormatting sqref="Q18:Q19">
    <cfRule type="cellIs" dxfId="1947" priority="80" operator="greaterThan">
      <formula>1</formula>
    </cfRule>
    <cfRule type="cellIs" dxfId="1946" priority="81" operator="lessThan">
      <formula>0.8</formula>
    </cfRule>
  </conditionalFormatting>
  <conditionalFormatting sqref="R18:R19 AG18:AG19">
    <cfRule type="cellIs" dxfId="1945" priority="83" operator="lessThan">
      <formula>0.8</formula>
    </cfRule>
  </conditionalFormatting>
  <conditionalFormatting sqref="O11:O14">
    <cfRule type="cellIs" dxfId="1944" priority="75" operator="greaterThan">
      <formula>0</formula>
    </cfRule>
  </conditionalFormatting>
  <conditionalFormatting sqref="P11:P14">
    <cfRule type="cellIs" dxfId="1943" priority="78" operator="lessThan">
      <formula>0</formula>
    </cfRule>
  </conditionalFormatting>
  <conditionalFormatting sqref="Q11:Q14">
    <cfRule type="cellIs" dxfId="1942" priority="76" operator="greaterThan">
      <formula>1</formula>
    </cfRule>
    <cfRule type="cellIs" dxfId="1941" priority="77" operator="lessThan">
      <formula>0.8</formula>
    </cfRule>
  </conditionalFormatting>
  <conditionalFormatting sqref="O66">
    <cfRule type="cellIs" dxfId="1940" priority="70" operator="greaterThan">
      <formula>0</formula>
    </cfRule>
  </conditionalFormatting>
  <conditionalFormatting sqref="P66">
    <cfRule type="cellIs" dxfId="1939" priority="73" operator="lessThan">
      <formula>0</formula>
    </cfRule>
  </conditionalFormatting>
  <conditionalFormatting sqref="Q66">
    <cfRule type="cellIs" dxfId="1938" priority="71" operator="greaterThan">
      <formula>1</formula>
    </cfRule>
    <cfRule type="cellIs" dxfId="1937" priority="72" operator="lessThan">
      <formula>0.8</formula>
    </cfRule>
  </conditionalFormatting>
  <conditionalFormatting sqref="R66 AG66">
    <cfRule type="cellIs" dxfId="1936" priority="74" operator="lessThan">
      <formula>0.8</formula>
    </cfRule>
  </conditionalFormatting>
  <conditionalFormatting sqref="R51 AG51">
    <cfRule type="cellIs" dxfId="1935" priority="69" operator="lessThan">
      <formula>0.8</formula>
    </cfRule>
  </conditionalFormatting>
  <conditionalFormatting sqref="AG51">
    <cfRule type="cellIs" dxfId="1934" priority="68" operator="lessThan">
      <formula>0.8</formula>
    </cfRule>
  </conditionalFormatting>
  <conditionalFormatting sqref="O73">
    <cfRule type="cellIs" dxfId="1933" priority="63" operator="greaterThan">
      <formula>0</formula>
    </cfRule>
  </conditionalFormatting>
  <conditionalFormatting sqref="P73 AE73">
    <cfRule type="cellIs" dxfId="1932" priority="66" operator="lessThan">
      <formula>0</formula>
    </cfRule>
  </conditionalFormatting>
  <conditionalFormatting sqref="Q73 AF73">
    <cfRule type="cellIs" dxfId="1931" priority="64" operator="greaterThan">
      <formula>1</formula>
    </cfRule>
    <cfRule type="cellIs" dxfId="1930" priority="65" operator="lessThan">
      <formula>0.8</formula>
    </cfRule>
  </conditionalFormatting>
  <conditionalFormatting sqref="R73 AG73">
    <cfRule type="cellIs" dxfId="1929" priority="67" operator="lessThan">
      <formula>0.8</formula>
    </cfRule>
  </conditionalFormatting>
  <conditionalFormatting sqref="O41">
    <cfRule type="cellIs" dxfId="1928" priority="58" operator="greaterThan">
      <formula>0</formula>
    </cfRule>
  </conditionalFormatting>
  <conditionalFormatting sqref="P41">
    <cfRule type="cellIs" dxfId="1927" priority="61" operator="lessThan">
      <formula>0</formula>
    </cfRule>
  </conditionalFormatting>
  <conditionalFormatting sqref="Q41">
    <cfRule type="cellIs" dxfId="1926" priority="59" operator="greaterThan">
      <formula>1</formula>
    </cfRule>
    <cfRule type="cellIs" dxfId="1925" priority="60" operator="lessThan">
      <formula>0.8</formula>
    </cfRule>
  </conditionalFormatting>
  <conditionalFormatting sqref="R41 AG41">
    <cfRule type="cellIs" dxfId="1924" priority="62" operator="lessThan">
      <formula>0.8</formula>
    </cfRule>
  </conditionalFormatting>
  <conditionalFormatting sqref="O82">
    <cfRule type="cellIs" dxfId="1923" priority="53" operator="greaterThan">
      <formula>0</formula>
    </cfRule>
  </conditionalFormatting>
  <conditionalFormatting sqref="P82">
    <cfRule type="cellIs" dxfId="1922" priority="56" operator="lessThan">
      <formula>0</formula>
    </cfRule>
  </conditionalFormatting>
  <conditionalFormatting sqref="Q82">
    <cfRule type="cellIs" dxfId="1921" priority="54" operator="greaterThan">
      <formula>1</formula>
    </cfRule>
    <cfRule type="cellIs" dxfId="1920" priority="55" operator="lessThan">
      <formula>0.8</formula>
    </cfRule>
  </conditionalFormatting>
  <conditionalFormatting sqref="R82">
    <cfRule type="cellIs" dxfId="1919" priority="57" operator="lessThan">
      <formula>0.8</formula>
    </cfRule>
  </conditionalFormatting>
  <conditionalFormatting sqref="O20:O21">
    <cfRule type="cellIs" dxfId="1918" priority="48" operator="greaterThan">
      <formula>0</formula>
    </cfRule>
  </conditionalFormatting>
  <conditionalFormatting sqref="P20:P21">
    <cfRule type="cellIs" dxfId="1917" priority="51" operator="lessThan">
      <formula>0</formula>
    </cfRule>
  </conditionalFormatting>
  <conditionalFormatting sqref="Q20:Q21">
    <cfRule type="cellIs" dxfId="1916" priority="49" operator="greaterThan">
      <formula>1</formula>
    </cfRule>
    <cfRule type="cellIs" dxfId="1915" priority="50" operator="lessThan">
      <formula>0.8</formula>
    </cfRule>
  </conditionalFormatting>
  <conditionalFormatting sqref="R20:R21 AG20:AG21">
    <cfRule type="cellIs" dxfId="1914" priority="52" operator="lessThan">
      <formula>0.8</formula>
    </cfRule>
  </conditionalFormatting>
  <conditionalFormatting sqref="O67">
    <cfRule type="cellIs" dxfId="1913" priority="43" operator="greaterThan">
      <formula>0</formula>
    </cfRule>
  </conditionalFormatting>
  <conditionalFormatting sqref="P67">
    <cfRule type="cellIs" dxfId="1912" priority="46" operator="lessThan">
      <formula>0</formula>
    </cfRule>
  </conditionalFormatting>
  <conditionalFormatting sqref="Q67">
    <cfRule type="cellIs" dxfId="1911" priority="44" operator="greaterThan">
      <formula>1</formula>
    </cfRule>
    <cfRule type="cellIs" dxfId="1910" priority="45" operator="lessThan">
      <formula>0.8</formula>
    </cfRule>
  </conditionalFormatting>
  <conditionalFormatting sqref="AG67 R67">
    <cfRule type="cellIs" dxfId="1909" priority="47" operator="lessThan">
      <formula>0.8</formula>
    </cfRule>
  </conditionalFormatting>
  <conditionalFormatting sqref="R31 AG31">
    <cfRule type="cellIs" dxfId="1908" priority="42" operator="lessThan">
      <formula>0.8</formula>
    </cfRule>
  </conditionalFormatting>
  <conditionalFormatting sqref="AG31">
    <cfRule type="cellIs" dxfId="1907" priority="41" operator="lessThan">
      <formula>0.8</formula>
    </cfRule>
  </conditionalFormatting>
  <conditionalFormatting sqref="O72">
    <cfRule type="cellIs" dxfId="1906" priority="36" operator="greaterThan">
      <formula>0</formula>
    </cfRule>
  </conditionalFormatting>
  <conditionalFormatting sqref="P72 AE72">
    <cfRule type="cellIs" dxfId="1905" priority="39" operator="lessThan">
      <formula>0</formula>
    </cfRule>
  </conditionalFormatting>
  <conditionalFormatting sqref="Q72 AF72">
    <cfRule type="cellIs" dxfId="1904" priority="37" operator="greaterThan">
      <formula>1</formula>
    </cfRule>
    <cfRule type="cellIs" dxfId="1903" priority="38" operator="lessThan">
      <formula>0.8</formula>
    </cfRule>
  </conditionalFormatting>
  <conditionalFormatting sqref="R72 AG72">
    <cfRule type="cellIs" dxfId="1902" priority="40" operator="lessThan">
      <formula>0.8</formula>
    </cfRule>
  </conditionalFormatting>
  <conditionalFormatting sqref="O22">
    <cfRule type="cellIs" dxfId="1901" priority="31" operator="greaterThan">
      <formula>0</formula>
    </cfRule>
  </conditionalFormatting>
  <conditionalFormatting sqref="P22">
    <cfRule type="cellIs" dxfId="1900" priority="34" operator="lessThan">
      <formula>0</formula>
    </cfRule>
  </conditionalFormatting>
  <conditionalFormatting sqref="Q22">
    <cfRule type="cellIs" dxfId="1899" priority="32" operator="greaterThan">
      <formula>1</formula>
    </cfRule>
    <cfRule type="cellIs" dxfId="1898" priority="33" operator="lessThan">
      <formula>0.8</formula>
    </cfRule>
  </conditionalFormatting>
  <conditionalFormatting sqref="AG22 R22">
    <cfRule type="cellIs" dxfId="1897" priority="35" operator="lessThan">
      <formula>0.8</formula>
    </cfRule>
  </conditionalFormatting>
  <conditionalFormatting sqref="O23">
    <cfRule type="cellIs" dxfId="1896" priority="26" operator="greaterThan">
      <formula>0</formula>
    </cfRule>
  </conditionalFormatting>
  <conditionalFormatting sqref="P23">
    <cfRule type="cellIs" dxfId="1895" priority="29" operator="lessThan">
      <formula>0</formula>
    </cfRule>
  </conditionalFormatting>
  <conditionalFormatting sqref="Q23">
    <cfRule type="cellIs" dxfId="1894" priority="27" operator="greaterThan">
      <formula>1</formula>
    </cfRule>
    <cfRule type="cellIs" dxfId="1893" priority="28" operator="lessThan">
      <formula>0.8</formula>
    </cfRule>
  </conditionalFormatting>
  <conditionalFormatting sqref="AG23 R23">
    <cfRule type="cellIs" dxfId="1892" priority="30" operator="lessThan">
      <formula>0.8</formula>
    </cfRule>
  </conditionalFormatting>
  <conditionalFormatting sqref="P9">
    <cfRule type="cellIs" dxfId="1891" priority="25" operator="lessThan">
      <formula>0</formula>
    </cfRule>
  </conditionalFormatting>
  <conditionalFormatting sqref="P24">
    <cfRule type="cellIs" dxfId="1890" priority="24" operator="lessThan">
      <formula>0</formula>
    </cfRule>
  </conditionalFormatting>
  <conditionalFormatting sqref="P32">
    <cfRule type="cellIs" dxfId="1889" priority="23" operator="lessThan">
      <formula>0</formula>
    </cfRule>
  </conditionalFormatting>
  <conditionalFormatting sqref="P42">
    <cfRule type="cellIs" dxfId="1888" priority="22" operator="lessThan">
      <formula>0</formula>
    </cfRule>
  </conditionalFormatting>
  <conditionalFormatting sqref="P59">
    <cfRule type="cellIs" dxfId="1887" priority="21" operator="lessThan">
      <formula>0</formula>
    </cfRule>
  </conditionalFormatting>
  <conditionalFormatting sqref="P70">
    <cfRule type="cellIs" dxfId="1886" priority="20" operator="lessThan">
      <formula>0</formula>
    </cfRule>
  </conditionalFormatting>
  <conditionalFormatting sqref="P75">
    <cfRule type="cellIs" dxfId="1885" priority="19" operator="lessThan">
      <formula>0</formula>
    </cfRule>
  </conditionalFormatting>
  <conditionalFormatting sqref="P85">
    <cfRule type="cellIs" dxfId="1884" priority="18" operator="lessThan">
      <formula>0</formula>
    </cfRule>
  </conditionalFormatting>
  <conditionalFormatting sqref="R52 AG52">
    <cfRule type="cellIs" dxfId="1883" priority="17" operator="lessThan">
      <formula>0.8</formula>
    </cfRule>
  </conditionalFormatting>
  <conditionalFormatting sqref="AG52">
    <cfRule type="cellIs" dxfId="1882" priority="16" operator="lessThan">
      <formula>0.8</formula>
    </cfRule>
  </conditionalFormatting>
  <conditionalFormatting sqref="O83">
    <cfRule type="cellIs" dxfId="1881" priority="11" operator="greaterThan">
      <formula>0</formula>
    </cfRule>
  </conditionalFormatting>
  <conditionalFormatting sqref="P83">
    <cfRule type="cellIs" dxfId="1880" priority="14" operator="lessThan">
      <formula>0</formula>
    </cfRule>
  </conditionalFormatting>
  <conditionalFormatting sqref="Q83">
    <cfRule type="cellIs" dxfId="1879" priority="12" operator="greaterThan">
      <formula>1</formula>
    </cfRule>
    <cfRule type="cellIs" dxfId="1878" priority="13" operator="lessThan">
      <formula>0.8</formula>
    </cfRule>
  </conditionalFormatting>
  <conditionalFormatting sqref="R83">
    <cfRule type="cellIs" dxfId="1877" priority="15" operator="lessThan">
      <formula>0.8</formula>
    </cfRule>
  </conditionalFormatting>
  <conditionalFormatting sqref="O84">
    <cfRule type="cellIs" dxfId="1876" priority="6" operator="greaterThan">
      <formula>0</formula>
    </cfRule>
  </conditionalFormatting>
  <conditionalFormatting sqref="P84">
    <cfRule type="cellIs" dxfId="1875" priority="9" operator="lessThan">
      <formula>0</formula>
    </cfRule>
  </conditionalFormatting>
  <conditionalFormatting sqref="Q84">
    <cfRule type="cellIs" dxfId="1874" priority="7" operator="greaterThan">
      <formula>1</formula>
    </cfRule>
    <cfRule type="cellIs" dxfId="1873" priority="8" operator="lessThan">
      <formula>0.8</formula>
    </cfRule>
  </conditionalFormatting>
  <conditionalFormatting sqref="R84">
    <cfRule type="cellIs" dxfId="1872" priority="10" operator="lessThan">
      <formula>0.8</formula>
    </cfRule>
  </conditionalFormatting>
  <conditionalFormatting sqref="O68:O69">
    <cfRule type="cellIs" dxfId="1871" priority="1" operator="greaterThan">
      <formula>0</formula>
    </cfRule>
  </conditionalFormatting>
  <conditionalFormatting sqref="P68:P69">
    <cfRule type="cellIs" dxfId="1870" priority="4" operator="lessThan">
      <formula>0</formula>
    </cfRule>
  </conditionalFormatting>
  <conditionalFormatting sqref="Q68:Q69">
    <cfRule type="cellIs" dxfId="1869" priority="2" operator="greaterThan">
      <formula>1</formula>
    </cfRule>
    <cfRule type="cellIs" dxfId="1868" priority="3" operator="lessThan">
      <formula>0.8</formula>
    </cfRule>
  </conditionalFormatting>
  <conditionalFormatting sqref="AG68:AG69 R68:R69">
    <cfRule type="cellIs" dxfId="1867" priority="5" operator="lessThan">
      <formula>0.8</formula>
    </cfRule>
  </conditionalFormatting>
  <dataValidations count="1">
    <dataValidation type="list" allowBlank="1" showInputMessage="1" showErrorMessage="1" sqref="AB9 AA5:AB8 AA9:AA74 AB11:AB71 AA75:AB85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1" sqref="P11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2387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2388</v>
      </c>
      <c r="C3" s="594" t="str">
        <f>TEXT('0727 4度C'!A2,"yyyy.mm.ddaaaa")</f>
        <v>2026.07.27星期一</v>
      </c>
      <c r="D3" s="595"/>
      <c r="E3" s="36" t="s">
        <v>2389</v>
      </c>
      <c r="F3" s="596">
        <f>'0727 4度C'!D1</f>
        <v>194231</v>
      </c>
      <c r="G3" s="597"/>
      <c r="H3" s="36" t="s">
        <v>2390</v>
      </c>
      <c r="I3" s="598">
        <f>'0727 4度C'!F1</f>
        <v>6714522.5100000007</v>
      </c>
      <c r="J3" s="599"/>
      <c r="K3" s="37"/>
      <c r="L3" s="38"/>
      <c r="M3" s="39"/>
      <c r="N3" s="39"/>
    </row>
    <row r="4" spans="2:17" ht="28.5" customHeight="1">
      <c r="B4" s="600" t="s">
        <v>194</v>
      </c>
      <c r="C4" s="586" t="s">
        <v>2391</v>
      </c>
      <c r="D4" s="587"/>
      <c r="E4" s="603" t="s">
        <v>637</v>
      </c>
      <c r="F4" s="604"/>
      <c r="G4" s="603" t="s">
        <v>91</v>
      </c>
      <c r="H4" s="604"/>
      <c r="I4" s="603" t="s">
        <v>295</v>
      </c>
      <c r="J4" s="604"/>
      <c r="K4" s="584" t="s">
        <v>2392</v>
      </c>
      <c r="L4" s="585"/>
      <c r="M4" s="585" t="s">
        <v>2393</v>
      </c>
      <c r="N4" s="585"/>
    </row>
    <row r="5" spans="2:17" ht="28.5" customHeight="1">
      <c r="B5" s="601"/>
      <c r="C5" s="586" t="s">
        <v>2394</v>
      </c>
      <c r="D5" s="587"/>
      <c r="E5" s="586" t="s">
        <v>2395</v>
      </c>
      <c r="F5" s="587"/>
      <c r="G5" s="588" t="s">
        <v>2396</v>
      </c>
      <c r="H5" s="589"/>
      <c r="I5" s="590" t="s">
        <v>2397</v>
      </c>
      <c r="J5" s="591"/>
      <c r="K5" s="40" t="s">
        <v>2398</v>
      </c>
      <c r="L5" s="41" t="s">
        <v>2399</v>
      </c>
      <c r="M5" s="40" t="s">
        <v>2398</v>
      </c>
      <c r="N5" s="41" t="s">
        <v>2400</v>
      </c>
    </row>
    <row r="6" spans="2:17" ht="28.5" customHeight="1">
      <c r="B6" s="601"/>
      <c r="C6" s="586" t="s">
        <v>41</v>
      </c>
      <c r="D6" s="587"/>
      <c r="E6" s="578">
        <f>AVERAGE(D13:M13)</f>
        <v>156.23944127544178</v>
      </c>
      <c r="F6" s="579">
        <f>AVERAGE(D31:O31,D13:J13)</f>
        <v>165.77240501638087</v>
      </c>
      <c r="G6" s="580">
        <f>AVERAGE(D13:J13)</f>
        <v>165.77240501638087</v>
      </c>
      <c r="H6" s="581"/>
      <c r="I6" s="580">
        <f>AVERAGE(K13:M13)</f>
        <v>133.9958592132505</v>
      </c>
      <c r="J6" s="581"/>
      <c r="K6" s="582">
        <f>'0727 4度C'!Y2</f>
        <v>0</v>
      </c>
      <c r="L6" s="567">
        <f>'0727 4度C'!Z2</f>
        <v>0</v>
      </c>
      <c r="M6" s="583">
        <f>'0727 4度C'!AC2</f>
        <v>66</v>
      </c>
      <c r="N6" s="567">
        <f>'0727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149.93272059131758</v>
      </c>
      <c r="F7" s="571">
        <f>AVERAGE(D32:O32,D14:J14)</f>
        <v>159.27941613807548</v>
      </c>
      <c r="G7" s="572">
        <f>AVERAGE(D14:J14)</f>
        <v>159.27941613807548</v>
      </c>
      <c r="H7" s="573"/>
      <c r="I7" s="572">
        <f>AVERAGE(K14:M14)</f>
        <v>128.12376431554912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0.95879806385465438</v>
      </c>
      <c r="F8" s="575">
        <f>AVERAGE(D15:J15,D33:O33)</f>
        <v>0.95993508488126178</v>
      </c>
      <c r="G8" s="576">
        <f>AVERAGE(D15:J15)</f>
        <v>0.95993508488126178</v>
      </c>
      <c r="H8" s="577"/>
      <c r="I8" s="576">
        <f>AVERAGE(K15:M15)</f>
        <v>0.95614501479257008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209</v>
      </c>
      <c r="N9" s="39"/>
      <c r="O9" s="39"/>
      <c r="P9" s="39"/>
      <c r="Q9" s="39"/>
    </row>
    <row r="10" spans="2:17" ht="30" customHeight="1">
      <c r="B10" s="550" t="s">
        <v>103</v>
      </c>
      <c r="C10" s="551"/>
      <c r="D10" s="552" t="s">
        <v>104</v>
      </c>
      <c r="E10" s="553"/>
      <c r="F10" s="553"/>
      <c r="G10" s="553"/>
      <c r="H10" s="553"/>
      <c r="I10" s="553"/>
      <c r="J10" s="554"/>
      <c r="K10" s="555" t="s">
        <v>2401</v>
      </c>
      <c r="L10" s="556"/>
      <c r="M10" s="557"/>
      <c r="P10" s="45"/>
      <c r="Q10" s="45"/>
    </row>
    <row r="11" spans="2:17" ht="17.25" customHeight="1">
      <c r="B11" s="558" t="s">
        <v>106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107</v>
      </c>
      <c r="C13" s="52" t="s">
        <v>311</v>
      </c>
      <c r="D13" s="53">
        <f>SUMIFS('0727 4度C'!$K:$K,'0727 4度C'!$A:$A,"新豐6線",'0727 4度C'!$B:$B,"平均")</f>
        <v>129.03225806451613</v>
      </c>
      <c r="E13" s="54">
        <f>SUMIFS('0727 4度C'!$K:$K,'0727 4度C'!$A:$A,"新豐2線",'0727 4度C'!$B:$B,"平均")</f>
        <v>84.905660377358487</v>
      </c>
      <c r="F13" s="55">
        <f>SUMIFS('0727 4度C'!$K:$K,'0727 4度C'!$A:$A,"新豐5線",'0727 4度C'!$B:$B,"平均")</f>
        <v>90.604026845637577</v>
      </c>
      <c r="G13" s="55">
        <f>SUMIFS('0727 4度C'!$K:$K,'0727 4度C'!$A:$A,"新豐7線",'0727 4度C'!$B:$B,"平均")</f>
        <v>127.27272727272728</v>
      </c>
      <c r="H13" s="55">
        <f>SUMIFS('0727 4度C'!$K:$K,'0727 4度C'!$A:$A,"新豐3線",'0727 4度C'!$B:$B,"平均")</f>
        <v>307.69230769230768</v>
      </c>
      <c r="I13" s="55">
        <f>SUMIFS('0727 4度C'!$K:$K,'0727 4度C'!$A:$A,"新豐1線",'0727 4度C'!$B:$B,"平均")</f>
        <v>113.20754716981131</v>
      </c>
      <c r="J13" s="56">
        <f>SUMIFS('0727 4度C'!$K:$K,'0727 4度C'!$A:$A,"新豐10線",'0727 4度C'!$B:$B,"平均")</f>
        <v>307.69230769230768</v>
      </c>
      <c r="K13" s="57">
        <f>SUMIFS('0727 4度C'!$K:$K,'0727 4度C'!$A:$A,"新豐8線",'0727 4度C'!$B:$B,"平均")</f>
        <v>137.14285714285714</v>
      </c>
      <c r="L13" s="58">
        <f>SUMIFS('0727 4度C'!$K:$K,'0727 4度C'!$A:$A,"新豐9線",'0727 4度C'!$B:$B,"平均")</f>
        <v>125.71428571428571</v>
      </c>
      <c r="M13" s="56">
        <f>SUMIFS('0727 4度C'!$K:$K,'0727 4度C'!$A:$A,"新豐4線",'0727 4度C'!$B:$B,"平均")</f>
        <v>139.13043478260869</v>
      </c>
    </row>
    <row r="14" spans="2:17" ht="39.6" customHeight="1">
      <c r="B14" s="563"/>
      <c r="C14" s="59" t="s">
        <v>109</v>
      </c>
      <c r="D14" s="60">
        <f>SUMIFS('0727 4度C'!$N:$N,'0727 4度C'!$A:$A,"新豐6線",'0727 4度C'!$B:$B,"平均")</f>
        <v>123.92498592788142</v>
      </c>
      <c r="E14" s="61">
        <f>SUMIFS('0727 4度C'!$N:$N,'0727 4度C'!$A:$A,"新豐2線",'0727 4度C'!$B:$B,"平均")</f>
        <v>81.03377445219553</v>
      </c>
      <c r="F14" s="61">
        <f>SUMIFS('0727 4度C'!$N:$N,'0727 4度C'!$A:$A,"新豐5線",'0727 4度C'!$B:$B,"平均")</f>
        <v>86.922425530697296</v>
      </c>
      <c r="G14" s="61">
        <f>SUMIFS('0727 4度C'!$N:$N,'0727 4度C'!$A:$A,"新豐7線",'0727 4度C'!$B:$B,"平均")</f>
        <v>122.17730201903629</v>
      </c>
      <c r="H14" s="61">
        <f>SUMIFS('0727 4度C'!$N:$N,'0727 4度C'!$A:$A,"新豐3線",'0727 4度C'!$B:$B,"平均")</f>
        <v>295.80681150910158</v>
      </c>
      <c r="I14" s="61">
        <f>SUMIFS('0727 4度C'!$N:$N,'0727 4度C'!$A:$A,"新豐1線",'0727 4度C'!$B:$B,"平均")</f>
        <v>108.80274413205441</v>
      </c>
      <c r="J14" s="62">
        <f>SUMIFS('0727 4度C'!$N:$N,'0727 4度C'!$A:$A,"新豐10線",'0727 4度C'!$B:$B,"平均")</f>
        <v>296.28786939556176</v>
      </c>
      <c r="K14" s="63">
        <f>SUMIFS('0727 4度C'!$N:$N,'0727 4度C'!$A:$A,"新豐8線",'0727 4度C'!$B:$B,"平均")</f>
        <v>131.18171526583853</v>
      </c>
      <c r="L14" s="64">
        <f>SUMIFS('0727 4度C'!$N:$N,'0727 4度C'!$A:$A,"新豐9線",'0727 4度C'!$B:$B,"平均")</f>
        <v>120.07321570193331</v>
      </c>
      <c r="M14" s="62">
        <f>SUMIFS('0727 4度C'!$N:$N,'0727 4度C'!$A:$A,"新豐4線",'0727 4度C'!$B:$B,"平均")</f>
        <v>133.11636197887552</v>
      </c>
    </row>
    <row r="15" spans="2:17" ht="40.15" customHeight="1">
      <c r="B15" s="564"/>
      <c r="C15" s="65" t="s">
        <v>110</v>
      </c>
      <c r="D15" s="66">
        <f t="shared" ref="D15:M15" si="0">D14/D13</f>
        <v>0.96041864094108098</v>
      </c>
      <c r="E15" s="67">
        <f t="shared" si="0"/>
        <v>0.95439778799252517</v>
      </c>
      <c r="F15" s="67">
        <f t="shared" si="0"/>
        <v>0.95936602993139986</v>
      </c>
      <c r="G15" s="67">
        <f t="shared" si="0"/>
        <v>0.95996451586385656</v>
      </c>
      <c r="H15" s="67">
        <f t="shared" si="0"/>
        <v>0.96137213740458016</v>
      </c>
      <c r="I15" s="67">
        <f t="shared" si="0"/>
        <v>0.9610909064998141</v>
      </c>
      <c r="J15" s="68">
        <f t="shared" si="0"/>
        <v>0.96293557553557574</v>
      </c>
      <c r="K15" s="66">
        <f t="shared" si="0"/>
        <v>0.95653334048007266</v>
      </c>
      <c r="L15" s="67">
        <f t="shared" si="0"/>
        <v>0.95512785217446949</v>
      </c>
      <c r="M15" s="68">
        <f t="shared" si="0"/>
        <v>0.95677385172316787</v>
      </c>
    </row>
    <row r="16" spans="2:17" ht="17.25" customHeight="1">
      <c r="B16" s="565" t="s">
        <v>314</v>
      </c>
      <c r="C16" s="69" t="s">
        <v>315</v>
      </c>
      <c r="D16" s="70">
        <f>VLOOKUP("新豐6線",'0727 4度C'!$A:$T,19,0)</f>
        <v>0.70833333333333337</v>
      </c>
      <c r="E16" s="71">
        <f>VLOOKUP("新豐2線",'0727 4度C'!$A:$T,19,0)</f>
        <v>8.3333333333333329E-2</v>
      </c>
      <c r="F16" s="71">
        <f>VLOOKUP("新豐5線",'0727 4度C'!$A:$T,19,0)</f>
        <v>8.3333333333333329E-2</v>
      </c>
      <c r="G16" s="71">
        <f>VLOOKUP("新豐7線",'0727 4度C'!$A:$T,19,0)</f>
        <v>0.20833333333333334</v>
      </c>
      <c r="H16" s="71">
        <f>VLOOKUP("新豐3線",'0727 4度C'!$A:$T,19,0)</f>
        <v>0.20833333333333334</v>
      </c>
      <c r="I16" s="71">
        <f>VLOOKUP("新豐1線",'0727 4度C'!$A:$T,19,0)</f>
        <v>0.20833333333333334</v>
      </c>
      <c r="J16" s="72">
        <f>VLOOKUP("新豐10線",'0727 4度C'!$A:$T,19,0)</f>
        <v>0.20833333333333334</v>
      </c>
      <c r="K16" s="73">
        <f>VLOOKUP("新豐8線",'0727 4度C'!$A:$T,19,0)</f>
        <v>8.3333333333333329E-2</v>
      </c>
      <c r="L16" s="74">
        <f>VLOOKUP("新豐9線",'0727 4度C'!$A:$T,19,0)</f>
        <v>8.3333333333333329E-2</v>
      </c>
      <c r="M16" s="75">
        <f>VLOOKUP("新豐4線",'0727 4度C'!$A:$T,19,0)</f>
        <v>8.3333333333333329E-2</v>
      </c>
    </row>
    <row r="17" spans="2:13" ht="17.25" customHeight="1">
      <c r="B17" s="566"/>
      <c r="C17" s="69" t="s">
        <v>2402</v>
      </c>
      <c r="D17" s="73">
        <f>LOOKUP(2,1/(('0727 4度C'!$A:$A="新豐6線")*('0727 4度C'!$T:$T&lt;&gt;"")),'0727 4度C'!$T:$T)</f>
        <v>0.9</v>
      </c>
      <c r="E17" s="71">
        <f>LOOKUP(2,1/(('0727 4度C'!$A:$A="新豐2線")*('0727 4度C'!$T:$T&lt;&gt;"")),'0727 4度C'!$T:$T)</f>
        <v>0.70347222222222205</v>
      </c>
      <c r="F17" s="71">
        <f>LOOKUP(2,1/(('0727 4度C'!$A:$A="新豐5線")*('0727 4度C'!$T:$T&lt;&gt;"")),'0727 4度C'!$T:$T)</f>
        <v>0.89930555555555547</v>
      </c>
      <c r="G17" s="71">
        <f>LOOKUP(2,1/(('0727 4度C'!$A:$A="新豐7線")*('0727 4度C'!$T:$T&lt;&gt;"")),'0727 4度C'!$T:$T)</f>
        <v>0.90694444444444444</v>
      </c>
      <c r="H17" s="71">
        <f>LOOKUP(2,1/(('0727 4度C'!$A:$A="新豐3線")*('0727 4度C'!$T:$T&lt;&gt;"")),'0727 4度C'!$T:$T)</f>
        <v>0.4770833333333333</v>
      </c>
      <c r="I17" s="71">
        <f>LOOKUP(2,1/(('0727 4度C'!$A:$A="新豐1線")*('0727 4度C'!$T:$T&lt;&gt;"")),'0727 4度C'!$T:$T)</f>
        <v>0.92222222222222228</v>
      </c>
      <c r="J17" s="72">
        <f>LOOKUP(2,1/(('0727 4度C'!$A:$A="新豐10線")*('0727 4度C'!$T:$T&lt;&gt;"")),'0727 4度C'!$T:$T)</f>
        <v>0.3965277777777777</v>
      </c>
      <c r="K17" s="70">
        <f>LOOKUP(2,1/(('0727 4度C'!$A:$A="新豐8線")*('0727 4度C'!$T:$T&lt;&gt;"")),'0727 4度C'!$T:$T)</f>
        <v>0.72499999999999987</v>
      </c>
      <c r="L17" s="71">
        <f>LOOKUP(2,1/(('0727 4度C'!$A:$A="新豐9線")*('0727 4度C'!$T:$T&lt;&gt;"")),'0727 4度C'!$T:$T)</f>
        <v>0.73680555555555549</v>
      </c>
      <c r="M17" s="72">
        <f>LOOKUP(2,1/(('0727 4度C'!$A:$A="新豐4線")*('0727 4度C'!$T:$T&lt;&gt;"")),'0727 4度C'!$T:$T)</f>
        <v>0.72986111111111107</v>
      </c>
    </row>
    <row r="18" spans="2:13" ht="17.25" customHeight="1">
      <c r="B18" s="544" t="s">
        <v>114</v>
      </c>
      <c r="C18" s="76" t="s">
        <v>2403</v>
      </c>
      <c r="D18" s="77">
        <f>SUMIFS('0727 4度C'!$Y:$Y,'0727 4度C'!$A:$A,"新豐6線",'0727 4度C'!$B:$B,"平均")</f>
        <v>0</v>
      </c>
      <c r="E18" s="78">
        <f>SUMIFS('0727 4度C'!$Y:$Y,'0727 4度C'!$A:$A,"新豐2線",'0727 4度C'!$B:$B,"平均")</f>
        <v>0</v>
      </c>
      <c r="F18" s="78">
        <f>SUMIFS('0727 4度C'!$Y:$Y,'0727 4度C'!$A:$A,"新豐5線",'0727 4度C'!$B:$B,"平均")</f>
        <v>0</v>
      </c>
      <c r="G18" s="78">
        <f>SUMIFS('0727 4度C'!$Y:$Y,'0727 4度C'!$A:$A,"新豐7線",'0727 4度C'!$B:$B,"平均")</f>
        <v>0</v>
      </c>
      <c r="H18" s="78">
        <f>SUMIFS('0727 4度C'!$Y:$Y,'0727 4度C'!$A:$A,"新豐3線",'0727 4度C'!$B:$B,"平均")</f>
        <v>0</v>
      </c>
      <c r="I18" s="78">
        <f>SUMIFS('0727 4度C'!$Y:$Y,'0727 4度C'!$A:$A,"新豐1線",'0727 4度C'!$B:$B,"平均")</f>
        <v>0</v>
      </c>
      <c r="J18" s="79">
        <f>SUMIFS('0727 4度C'!$Y:$Y,'0727 4度C'!$A:$A,"新豐10線",'0727 4度C'!$B:$B,"平均")</f>
        <v>0</v>
      </c>
      <c r="K18" s="80">
        <f>SUMIFS('0727 4度C'!$Y:$Y,'0727 4度C'!$A:$A,"新豐8線",'0727 4度C'!$B:$B,"平均")</f>
        <v>0</v>
      </c>
      <c r="L18" s="78">
        <f>SUMIFS('0727 4度C'!$Y:$Y,'0727 4度C'!$A:$A,"新豐9線",'0727 4度C'!$B:$B,"平均")</f>
        <v>0</v>
      </c>
      <c r="M18" s="79">
        <f>SUMIFS('0727 4度C'!$Y:$Y,'0727 4度C'!$A:$A,"新豐4線",'0727 4度C'!$B:$B,"平均")</f>
        <v>0</v>
      </c>
    </row>
    <row r="19" spans="2:13" ht="17.25" customHeight="1">
      <c r="B19" s="545"/>
      <c r="C19" s="76" t="s">
        <v>2404</v>
      </c>
      <c r="D19" s="77">
        <f>SUMIFS('0727 4度C'!$Z:$Z,'0727 4度C'!$A:$A,"新豐6線",'0727 4度C'!$B:$B,"平均")</f>
        <v>0</v>
      </c>
      <c r="E19" s="78">
        <f>SUMIFS('0727 4度C'!$Z:$Z,'0727 4度C'!$A:$A,"新豐2線",'0727 4度C'!$B:$B,"平均")</f>
        <v>0</v>
      </c>
      <c r="F19" s="78">
        <f>SUMIFS('0727 4度C'!$Z:$Z,'0727 4度C'!$A:$A,"新豐5線",'0727 4度C'!$B:$B,"平均")</f>
        <v>0</v>
      </c>
      <c r="G19" s="78">
        <f>SUMIFS('0727 4度C'!$Z:$Z,'0727 4度C'!$A:$A,"新豐7線",'0727 4度C'!$B:$B,"平均")</f>
        <v>0</v>
      </c>
      <c r="H19" s="78">
        <f>SUMIFS('0727 4度C'!$Z:$Z,'0727 4度C'!$A:$A,"新豐3線",'0727 4度C'!$B:$B,"平均")</f>
        <v>0</v>
      </c>
      <c r="I19" s="78">
        <f>SUMIFS('0727 4度C'!$Z:$Z,'0727 4度C'!$A:$A,"新豐1線",'0727 4度C'!$B:$B,"平均")</f>
        <v>0</v>
      </c>
      <c r="J19" s="79">
        <f>SUMIFS('0727 4度C'!$Z:$Z,'0727 4度C'!$A:$A,"新豐10線",'0727 4度C'!$B:$B,"平均")</f>
        <v>0</v>
      </c>
      <c r="K19" s="80">
        <f>SUMIFS('0727 4度C'!$Z:$Z,'0727 4度C'!$A:$A,"新豐8線",'0727 4度C'!$B:$B,"平均")</f>
        <v>0</v>
      </c>
      <c r="L19" s="78">
        <f>SUMIFS('0727 4度C'!$Z:$Z,'0727 4度C'!$A:$A,"新豐9線",'0727 4度C'!$B:$B,"平均")</f>
        <v>0</v>
      </c>
      <c r="M19" s="79">
        <f>SUMIFS('0727 4度C'!$Z:$Z,'0727 4度C'!$A:$A,"新豐4線",'0727 4度C'!$B:$B,"平均")</f>
        <v>0</v>
      </c>
    </row>
    <row r="20" spans="2:13" ht="17.25" customHeight="1">
      <c r="B20" s="544" t="s">
        <v>2405</v>
      </c>
      <c r="C20" s="76" t="s">
        <v>116</v>
      </c>
      <c r="D20" s="77">
        <f>SUMIFS('0727 4度C'!$AC:$AC,'0727 4度C'!$A:$A,"新豐6線",'0727 4度C'!$B:$B,"平均")</f>
        <v>4</v>
      </c>
      <c r="E20" s="78">
        <f>SUMIFS('0727 4度C'!$AC:$AC,'0727 4度C'!$A:$A,"新豐2線",'0727 4度C'!$B:$B,"平均")</f>
        <v>6</v>
      </c>
      <c r="F20" s="78">
        <f>SUMIFS('0727 4度C'!$AC:$AC,'0727 4度C'!$A:$A,"新豐5線",'0727 4度C'!$B:$B,"平均")</f>
        <v>8</v>
      </c>
      <c r="G20" s="78">
        <f>SUMIFS('0727 4度C'!$AC:$AC,'0727 4度C'!$A:$A,"新豐7線",'0727 4度C'!$B:$B,"平均")</f>
        <v>7</v>
      </c>
      <c r="H20" s="78">
        <f>SUMIFS('0727 4度C'!$AC:$AC,'0727 4度C'!$A:$A,"新豐3線",'0727 4度C'!$B:$B,"平均")</f>
        <v>4</v>
      </c>
      <c r="I20" s="78">
        <f>SUMIFS('0727 4度C'!$AC:$AC,'0727 4度C'!$A:$A,"新豐1線",'0727 4度C'!$B:$B,"平均")</f>
        <v>9</v>
      </c>
      <c r="J20" s="79">
        <f>SUMIFS('0727 4度C'!$AC:$AC,'0727 4度C'!$A:$A,"新豐10線",'0727 4度C'!$B:$B,"平均")</f>
        <v>4</v>
      </c>
      <c r="K20" s="80">
        <f>SUMIFS('0727 4度C'!$AC:$AC,'0727 4度C'!$A:$A,"新豐8線",'0727 4度C'!$B:$B,"平均")</f>
        <v>8</v>
      </c>
      <c r="L20" s="78">
        <f>SUMIFS('0727 4度C'!$AC:$AC,'0727 4度C'!$A:$A,"新豐9線",'0727 4度C'!$B:$B,"平均")</f>
        <v>8</v>
      </c>
      <c r="M20" s="79">
        <f>SUMIFS('0727 4度C'!$AC:$AC,'0727 4度C'!$A:$A,"新豐4線",'0727 4度C'!$B:$B,"平均")</f>
        <v>8</v>
      </c>
    </row>
    <row r="21" spans="2:13" ht="17.25" customHeight="1">
      <c r="B21" s="545"/>
      <c r="C21" s="76" t="s">
        <v>117</v>
      </c>
      <c r="D21" s="77">
        <f>SUMIFS('0727 4度C'!$AD:$AD,'0727 4度C'!$A:$A,"新豐6線",'0727 4度C'!$B:$B,"平均")</f>
        <v>0</v>
      </c>
      <c r="E21" s="78">
        <f>SUMIFS('0727 4度C'!$AD:$AD,'0727 4度C'!$A:$A,"新豐2線",'0727 4度C'!$B:$B,"平均")</f>
        <v>0</v>
      </c>
      <c r="F21" s="78">
        <f>SUMIFS('0727 4度C'!$AD:$AD,'0727 4度C'!$A:$A,"新豐5線",'0727 4度C'!$B:$B,"平均")</f>
        <v>0</v>
      </c>
      <c r="G21" s="78">
        <f>SUMIFS('0727 4度C'!$AD:$AD,'0727 4度C'!$A:$A,"新豐7線",'0727 4度C'!$B:$B,"平均")</f>
        <v>0</v>
      </c>
      <c r="H21" s="78">
        <f>SUMIFS('0727 4度C'!$AD:$AD,'0727 4度C'!$A:$A,"新豐3線",'0727 4度C'!$B:$B,"平均")</f>
        <v>0</v>
      </c>
      <c r="I21" s="78">
        <f>SUMIFS('0727 4度C'!$AD:$AD,'0727 4度C'!$A:$A,"新豐1線",'0727 4度C'!$B:$B,"平均")</f>
        <v>0</v>
      </c>
      <c r="J21" s="79">
        <f>SUMIFS('0727 4度C'!$AD:$AD,'0727 4度C'!$A:$A,"新豐10線",'0727 4度C'!$B:$B,"平均")</f>
        <v>0</v>
      </c>
      <c r="K21" s="80">
        <f>SUMIFS('0727 4度C'!$AD:$AD,'0727 4度C'!$A:$A,"新豐8線",'0727 4度C'!$B:$B,"平均")</f>
        <v>0</v>
      </c>
      <c r="L21" s="78">
        <f>SUMIFS('0727 4度C'!$AD:$AD,'0727 4度C'!$A:$A,"新豐9線",'0727 4度C'!$B:$B,"平均")</f>
        <v>0</v>
      </c>
      <c r="M21" s="79">
        <f>SUMIFS('0727 4度C'!$AD:$AD,'0727 4度C'!$A:$A,"新豐4線",'0727 4度C'!$B:$B,"平均")</f>
        <v>0</v>
      </c>
    </row>
    <row r="22" spans="2:13" ht="17.25" customHeight="1">
      <c r="B22" s="546" t="s">
        <v>2406</v>
      </c>
      <c r="C22" s="547"/>
      <c r="D22" s="81">
        <f>SUMIFS('0727 4度C'!$I:$I,'0727 4度C'!$A:$A,"新豐6線",'0727 4度C'!$B:$B,"平均")</f>
        <v>15.5</v>
      </c>
      <c r="E22" s="82">
        <f>SUMIFS('0727 4度C'!$I:$I,'0727 4度C'!$A:$A,"新豐2線",'0727 4度C'!$B:$B,"平均")</f>
        <v>17.666666666666668</v>
      </c>
      <c r="F22" s="82">
        <f>SUMIFS('0727 4度C'!$I:$I,'0727 4度C'!$A:$A,"新豐5線",'0727 4度C'!$B:$B,"平均")</f>
        <v>18.625</v>
      </c>
      <c r="G22" s="82">
        <f>SUMIFS('0727 4度C'!$I:$I,'0727 4度C'!$A:$A,"新豐7線",'0727 4度C'!$B:$B,"平均")</f>
        <v>15.714285714285714</v>
      </c>
      <c r="H22" s="82">
        <f>SUMIFS('0727 4度C'!$I:$I,'0727 4度C'!$A:$A,"新豐3線",'0727 4度C'!$B:$B,"平均")</f>
        <v>9.75</v>
      </c>
      <c r="I22" s="82">
        <f>SUMIFS('0727 4度C'!$I:$I,'0727 4度C'!$A:$A,"新豐1線",'0727 4度C'!$B:$B,"平均")</f>
        <v>17.666666666666668</v>
      </c>
      <c r="J22" s="83">
        <f>SUMIFS('0727 4度C'!$I:$I,'0727 4度C'!$A:$A,"新豐10線",'0727 4度C'!$B:$B,"平均")</f>
        <v>9.75</v>
      </c>
      <c r="K22" s="81">
        <f>SUMIFS('0727 4度C'!$I:$I,'0727 4度C'!$A:$A,"新豐8線",'0727 4度C'!$B:$B,"平均")</f>
        <v>17.5</v>
      </c>
      <c r="L22" s="82">
        <f>SUMIFS('0727 4度C'!$I:$I,'0727 4度C'!$A:$A,"新豐9線",'0727 4度C'!$B:$B,"平均")</f>
        <v>17.5</v>
      </c>
      <c r="M22" s="83">
        <f>SUMIFS('0727 4度C'!$I:$I,'0727 4度C'!$A:$A,"新豐4線",'0727 4度C'!$B:$B,"平均")</f>
        <v>17.25</v>
      </c>
    </row>
    <row r="23" spans="2:13" ht="17.25" customHeight="1">
      <c r="B23" s="546" t="s">
        <v>2407</v>
      </c>
      <c r="C23" s="547"/>
      <c r="D23" s="84" t="s">
        <v>54</v>
      </c>
      <c r="E23" s="85" t="s">
        <v>55</v>
      </c>
      <c r="F23" s="85" t="s">
        <v>2408</v>
      </c>
      <c r="G23" s="85" t="s">
        <v>2408</v>
      </c>
      <c r="H23" s="85" t="s">
        <v>56</v>
      </c>
      <c r="I23" s="85" t="s">
        <v>54</v>
      </c>
      <c r="J23" s="86" t="s">
        <v>56</v>
      </c>
      <c r="K23" s="84" t="s">
        <v>2409</v>
      </c>
      <c r="L23" s="85" t="s">
        <v>669</v>
      </c>
      <c r="M23" s="86" t="s">
        <v>2409</v>
      </c>
    </row>
    <row r="24" spans="2:13" ht="17.25" customHeight="1">
      <c r="B24" s="546" t="s">
        <v>415</v>
      </c>
      <c r="C24" s="547"/>
      <c r="D24" s="84"/>
      <c r="E24" s="85"/>
      <c r="F24" s="85" t="s">
        <v>672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2410</v>
      </c>
      <c r="C25" s="549"/>
      <c r="D25" s="87"/>
      <c r="E25" s="88" t="s">
        <v>2411</v>
      </c>
      <c r="F25" s="542" t="s">
        <v>126</v>
      </c>
      <c r="G25" s="543"/>
      <c r="H25" s="88" t="s">
        <v>127</v>
      </c>
      <c r="I25" s="88" t="s">
        <v>238</v>
      </c>
      <c r="J25" s="89" t="s">
        <v>127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8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" activePane="bottomLeft" state="frozen"/>
      <selection activeCell="Q13" sqref="Q13"/>
      <selection pane="bottomLeft" activeCell="Q13" sqref="Q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422</v>
      </c>
      <c r="D1" s="3">
        <f>SUM(F5:F80)</f>
        <v>194231</v>
      </c>
      <c r="E1" s="466" t="s">
        <v>423</v>
      </c>
      <c r="F1" s="1">
        <f>SUM(G5:G80)</f>
        <v>6714522.5100000007</v>
      </c>
      <c r="G1" s="1" t="s">
        <v>2412</v>
      </c>
      <c r="H1" s="4">
        <f>L9+L16+L56+L66+L25+L71+L42+L51+L33+L80</f>
        <v>156.92261904761907</v>
      </c>
      <c r="I1" s="654" t="s">
        <v>2413</v>
      </c>
      <c r="J1" s="654"/>
      <c r="K1" s="654"/>
      <c r="L1" s="654" t="s">
        <v>134</v>
      </c>
      <c r="M1" s="654"/>
      <c r="N1" s="654"/>
      <c r="O1" s="654" t="s">
        <v>2414</v>
      </c>
      <c r="P1" s="654"/>
      <c r="Q1" s="654"/>
      <c r="R1" s="654"/>
      <c r="S1" s="654" t="s">
        <v>2415</v>
      </c>
      <c r="T1" s="654"/>
      <c r="U1" s="654"/>
      <c r="V1" s="654"/>
      <c r="W1" s="654"/>
      <c r="X1" s="654"/>
      <c r="Y1" s="5" t="s">
        <v>2416</v>
      </c>
      <c r="Z1" s="6" t="s">
        <v>2417</v>
      </c>
      <c r="AA1" s="655" t="s">
        <v>2418</v>
      </c>
      <c r="AB1" s="655"/>
      <c r="AC1" s="92" t="s">
        <v>137</v>
      </c>
      <c r="AD1" s="6" t="s">
        <v>2419</v>
      </c>
      <c r="AE1" s="654" t="s">
        <v>2420</v>
      </c>
      <c r="AF1" s="656"/>
      <c r="AG1" s="656"/>
    </row>
    <row r="2" spans="1:33" ht="26.25" customHeight="1">
      <c r="A2" s="25">
        <v>46230</v>
      </c>
      <c r="B2" s="26" t="s">
        <v>598</v>
      </c>
      <c r="C2" s="2" t="s">
        <v>2421</v>
      </c>
      <c r="D2" s="8">
        <f>AVERAGE(N9,N16,N56,N66,N25,N71,N33,N42,N51,N80)</f>
        <v>149.93272059131758</v>
      </c>
      <c r="E2" s="9" t="s">
        <v>0</v>
      </c>
      <c r="F2" s="10">
        <f>F1/D1</f>
        <v>34.569777790363027</v>
      </c>
      <c r="G2" s="1" t="s">
        <v>2422</v>
      </c>
      <c r="H2" s="480">
        <f>COUNT(H5:H80)</f>
        <v>15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SUM(Y9+Y16+Y25+Y33+Y42+Y51+Y56+Y66+Y71+Y80)</f>
        <v>0</v>
      </c>
      <c r="Z2" s="11">
        <f>SUM(Z9+Z16+Z25+Z33+Z42+Z51+Z56+Z66+Z71+Z80)</f>
        <v>0</v>
      </c>
      <c r="AA2" s="655"/>
      <c r="AB2" s="655"/>
      <c r="AC2" s="11">
        <v>66</v>
      </c>
      <c r="AD2" s="11">
        <f>SUM(AD9+AD16+AD25+AD33+AD42+AD51+AD56+AD66+AD71+AD80)</f>
        <v>0</v>
      </c>
      <c r="AE2" s="656"/>
      <c r="AF2" s="656"/>
      <c r="AG2" s="656"/>
    </row>
    <row r="3" spans="1:33" ht="40.5" customHeight="1">
      <c r="A3" s="612" t="s">
        <v>891</v>
      </c>
      <c r="B3" s="651" t="s">
        <v>145</v>
      </c>
      <c r="C3" s="651" t="s">
        <v>893</v>
      </c>
      <c r="D3" s="651"/>
      <c r="E3" s="661" t="s">
        <v>147</v>
      </c>
      <c r="F3" s="651" t="s">
        <v>439</v>
      </c>
      <c r="G3" s="652" t="s">
        <v>149</v>
      </c>
      <c r="H3" s="645" t="s">
        <v>150</v>
      </c>
      <c r="I3" s="644" t="s">
        <v>442</v>
      </c>
      <c r="J3" s="641" t="s">
        <v>899</v>
      </c>
      <c r="K3" s="650" t="s">
        <v>107</v>
      </c>
      <c r="L3" s="644" t="s">
        <v>442</v>
      </c>
      <c r="M3" s="641" t="s">
        <v>899</v>
      </c>
      <c r="N3" s="650" t="s">
        <v>107</v>
      </c>
      <c r="O3" s="644" t="s">
        <v>442</v>
      </c>
      <c r="P3" s="650" t="s">
        <v>107</v>
      </c>
      <c r="Q3" s="642" t="s">
        <v>451</v>
      </c>
      <c r="R3" s="621" t="s">
        <v>159</v>
      </c>
      <c r="S3" s="651" t="s">
        <v>1</v>
      </c>
      <c r="T3" s="651"/>
      <c r="U3" s="645" t="s">
        <v>2</v>
      </c>
      <c r="V3" s="645" t="s">
        <v>2423</v>
      </c>
      <c r="W3" s="612" t="s">
        <v>2424</v>
      </c>
      <c r="X3" s="612"/>
      <c r="Y3" s="646" t="s">
        <v>2425</v>
      </c>
      <c r="Z3" s="611"/>
      <c r="AA3" s="647" t="s">
        <v>2426</v>
      </c>
      <c r="AB3" s="648"/>
      <c r="AC3" s="646" t="s">
        <v>2427</v>
      </c>
      <c r="AD3" s="611"/>
      <c r="AE3" s="641" t="s">
        <v>2428</v>
      </c>
      <c r="AF3" s="642" t="s">
        <v>2429</v>
      </c>
      <c r="AG3" s="621" t="s">
        <v>2430</v>
      </c>
    </row>
    <row r="4" spans="1:33" ht="15.75" customHeight="1">
      <c r="A4" s="612"/>
      <c r="B4" s="651"/>
      <c r="C4" s="651"/>
      <c r="D4" s="651"/>
      <c r="E4" s="662"/>
      <c r="F4" s="651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79" t="s">
        <v>3</v>
      </c>
      <c r="T4" s="479" t="s">
        <v>4</v>
      </c>
      <c r="U4" s="645"/>
      <c r="V4" s="645"/>
      <c r="W4" s="466" t="s">
        <v>2431</v>
      </c>
      <c r="X4" s="466" t="s">
        <v>2432</v>
      </c>
      <c r="Y4" s="468" t="s">
        <v>2433</v>
      </c>
      <c r="Z4" s="468" t="s">
        <v>2434</v>
      </c>
      <c r="AA4" s="649"/>
      <c r="AB4" s="648"/>
      <c r="AC4" s="468" t="s">
        <v>2435</v>
      </c>
      <c r="AD4" s="468" t="s">
        <v>2436</v>
      </c>
      <c r="AE4" s="641"/>
      <c r="AF4" s="642"/>
      <c r="AG4" s="621"/>
    </row>
    <row r="5" spans="1:33">
      <c r="A5" s="643" t="s">
        <v>2437</v>
      </c>
      <c r="B5" s="27" t="s">
        <v>5</v>
      </c>
      <c r="C5" s="657" t="s">
        <v>14</v>
      </c>
      <c r="D5" s="657"/>
      <c r="E5" s="27">
        <v>50.92</v>
      </c>
      <c r="F5" s="479">
        <v>2355</v>
      </c>
      <c r="G5" s="466">
        <f t="shared" ref="G5:G8" si="0">E5*F5</f>
        <v>119916.6</v>
      </c>
      <c r="H5" s="31" t="s">
        <v>40</v>
      </c>
      <c r="I5" s="477">
        <v>15</v>
      </c>
      <c r="J5" s="29">
        <v>2000</v>
      </c>
      <c r="K5" s="12">
        <f t="shared" ref="K5:K68" si="1">J5/I5</f>
        <v>133.33333333333334</v>
      </c>
      <c r="L5" s="477">
        <v>15</v>
      </c>
      <c r="M5" s="13">
        <f t="shared" ref="M5:M8" si="2">F5/V5*60</f>
        <v>1909.459459459458</v>
      </c>
      <c r="N5" s="12">
        <f t="shared" ref="N5:N68" si="3">M5/L5</f>
        <v>127.29729729729721</v>
      </c>
      <c r="O5" s="14">
        <f t="shared" ref="O5:O68" si="4">L5-I5</f>
        <v>0</v>
      </c>
      <c r="P5" s="15">
        <f t="shared" ref="P5:P68" si="5">N5-K5</f>
        <v>-6.0360360360361369</v>
      </c>
      <c r="Q5" s="469">
        <f t="shared" ref="Q5:Q68" si="6">N5/K5</f>
        <v>0.95472972972972903</v>
      </c>
      <c r="R5" s="616">
        <f>Q9</f>
        <v>0.96041864094108098</v>
      </c>
      <c r="S5" s="32">
        <v>0.70833333333333337</v>
      </c>
      <c r="T5" s="32">
        <v>0.7597222222222223</v>
      </c>
      <c r="U5" s="466"/>
      <c r="V5" s="478">
        <f t="shared" ref="V5:V8" si="7">(T5-S5)*24*60</f>
        <v>74.000000000000057</v>
      </c>
      <c r="W5" s="16"/>
      <c r="X5" s="16"/>
      <c r="Y5" s="17"/>
      <c r="Z5" s="17"/>
      <c r="AA5" s="612"/>
      <c r="AB5" s="612"/>
      <c r="AC5" s="18">
        <v>4</v>
      </c>
      <c r="AD5" s="18"/>
      <c r="AE5" s="14">
        <f t="shared" ref="AE5:AE65" si="8">M5-J5</f>
        <v>-90.540540540541997</v>
      </c>
      <c r="AF5" s="469">
        <f t="shared" ref="AF5:AF68" si="9">M5/J5</f>
        <v>0.95472972972972903</v>
      </c>
      <c r="AG5" s="616">
        <f>AF9</f>
        <v>0.96041864094108098</v>
      </c>
    </row>
    <row r="6" spans="1:33">
      <c r="A6" s="644" t="s">
        <v>173</v>
      </c>
      <c r="B6" s="27" t="s">
        <v>5</v>
      </c>
      <c r="C6" s="657" t="s">
        <v>19</v>
      </c>
      <c r="D6" s="657"/>
      <c r="E6" s="27">
        <v>50.98</v>
      </c>
      <c r="F6" s="479">
        <v>1000</v>
      </c>
      <c r="G6" s="466">
        <f t="shared" si="0"/>
        <v>50980</v>
      </c>
      <c r="H6" s="31">
        <v>2</v>
      </c>
      <c r="I6" s="477">
        <v>16</v>
      </c>
      <c r="J6" s="29">
        <v>2000</v>
      </c>
      <c r="K6" s="12">
        <f t="shared" si="1"/>
        <v>125</v>
      </c>
      <c r="L6" s="477">
        <v>16</v>
      </c>
      <c r="M6" s="13">
        <f t="shared" si="2"/>
        <v>1935.483870967739</v>
      </c>
      <c r="N6" s="12">
        <f t="shared" si="3"/>
        <v>120.96774193548369</v>
      </c>
      <c r="O6" s="14">
        <f t="shared" si="4"/>
        <v>0</v>
      </c>
      <c r="P6" s="15">
        <f t="shared" si="5"/>
        <v>-4.0322580645163129</v>
      </c>
      <c r="Q6" s="469">
        <f t="shared" si="6"/>
        <v>0.96774193548386944</v>
      </c>
      <c r="R6" s="616"/>
      <c r="S6" s="32">
        <v>0.76319444444444451</v>
      </c>
      <c r="T6" s="32">
        <v>0.78472222222222232</v>
      </c>
      <c r="U6" s="466">
        <f t="shared" ref="U6:U8" si="10">IF(S6=TIME(17,0,0),"",(S6-T5)*24*60)</f>
        <v>4.9999999999999822</v>
      </c>
      <c r="V6" s="478">
        <f t="shared" si="7"/>
        <v>31.00000000000005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-64.516129032261006</v>
      </c>
      <c r="AF6" s="469">
        <f t="shared" si="9"/>
        <v>0.96774193548386944</v>
      </c>
      <c r="AG6" s="616"/>
    </row>
    <row r="7" spans="1:33">
      <c r="A7" s="644" t="s">
        <v>173</v>
      </c>
      <c r="B7" s="27" t="s">
        <v>5</v>
      </c>
      <c r="C7" s="638" t="s">
        <v>7</v>
      </c>
      <c r="D7" s="639"/>
      <c r="E7" s="27">
        <v>50.67</v>
      </c>
      <c r="F7" s="479">
        <v>1481</v>
      </c>
      <c r="G7" s="466">
        <f t="shared" si="0"/>
        <v>75042.27</v>
      </c>
      <c r="H7" s="31" t="s">
        <v>40</v>
      </c>
      <c r="I7" s="477">
        <v>15</v>
      </c>
      <c r="J7" s="29">
        <v>2000</v>
      </c>
      <c r="K7" s="12">
        <f t="shared" si="1"/>
        <v>133.33333333333334</v>
      </c>
      <c r="L7" s="477">
        <v>15</v>
      </c>
      <c r="M7" s="13">
        <f t="shared" si="2"/>
        <v>1931.7391304347827</v>
      </c>
      <c r="N7" s="12">
        <f t="shared" si="3"/>
        <v>128.78260869565219</v>
      </c>
      <c r="O7" s="14">
        <f t="shared" si="4"/>
        <v>0</v>
      </c>
      <c r="P7" s="15">
        <f t="shared" si="5"/>
        <v>-4.5507246376811565</v>
      </c>
      <c r="Q7" s="469">
        <f t="shared" si="6"/>
        <v>0.96586956521739131</v>
      </c>
      <c r="R7" s="616"/>
      <c r="S7" s="32">
        <v>0.79027777777777786</v>
      </c>
      <c r="T7" s="32">
        <v>0.8222222222222223</v>
      </c>
      <c r="U7" s="466">
        <f t="shared" si="10"/>
        <v>7.9999999999999716</v>
      </c>
      <c r="V7" s="478">
        <f t="shared" si="7"/>
        <v>46</v>
      </c>
      <c r="W7" s="16">
        <f>T7</f>
        <v>0.8222222222222223</v>
      </c>
      <c r="X7" s="16">
        <f>S8</f>
        <v>0.86250000000000004</v>
      </c>
      <c r="Y7" s="19"/>
      <c r="Z7" s="19"/>
      <c r="AA7" s="607"/>
      <c r="AB7" s="608"/>
      <c r="AC7" s="267"/>
      <c r="AD7" s="267"/>
      <c r="AE7" s="14">
        <f t="shared" si="8"/>
        <v>-68.260869565217263</v>
      </c>
      <c r="AF7" s="469">
        <f t="shared" si="9"/>
        <v>0.96586956521739142</v>
      </c>
      <c r="AG7" s="616"/>
    </row>
    <row r="8" spans="1:33">
      <c r="A8" s="644" t="s">
        <v>2438</v>
      </c>
      <c r="B8" s="27" t="s">
        <v>5</v>
      </c>
      <c r="C8" s="638" t="s">
        <v>19</v>
      </c>
      <c r="D8" s="639"/>
      <c r="E8" s="27">
        <v>50.98</v>
      </c>
      <c r="F8" s="479">
        <v>1716</v>
      </c>
      <c r="G8" s="466">
        <f t="shared" si="0"/>
        <v>87481.68</v>
      </c>
      <c r="H8" s="31" t="s">
        <v>40</v>
      </c>
      <c r="I8" s="477">
        <v>16</v>
      </c>
      <c r="J8" s="29">
        <v>2000</v>
      </c>
      <c r="K8" s="12">
        <f t="shared" si="1"/>
        <v>125</v>
      </c>
      <c r="L8" s="477">
        <v>16</v>
      </c>
      <c r="M8" s="13">
        <f t="shared" si="2"/>
        <v>1906.6666666666677</v>
      </c>
      <c r="N8" s="12">
        <f t="shared" si="3"/>
        <v>119.16666666666673</v>
      </c>
      <c r="O8" s="14">
        <f t="shared" si="4"/>
        <v>0</v>
      </c>
      <c r="P8" s="15">
        <f t="shared" si="5"/>
        <v>-5.8333333333332718</v>
      </c>
      <c r="Q8" s="469">
        <f t="shared" si="6"/>
        <v>0.95333333333333381</v>
      </c>
      <c r="R8" s="616"/>
      <c r="S8" s="32">
        <v>0.86250000000000004</v>
      </c>
      <c r="T8" s="32">
        <v>0.9</v>
      </c>
      <c r="U8" s="466">
        <f t="shared" si="10"/>
        <v>57.999999999999957</v>
      </c>
      <c r="V8" s="478">
        <f t="shared" si="7"/>
        <v>53.999999999999972</v>
      </c>
      <c r="W8" s="20"/>
      <c r="X8" s="20"/>
      <c r="Y8" s="270"/>
      <c r="Z8" s="270"/>
      <c r="AA8" s="607"/>
      <c r="AB8" s="608"/>
      <c r="AC8" s="267"/>
      <c r="AD8" s="267"/>
      <c r="AE8" s="14">
        <f t="shared" si="8"/>
        <v>-93.333333333332348</v>
      </c>
      <c r="AF8" s="469">
        <f t="shared" si="9"/>
        <v>0.95333333333333381</v>
      </c>
      <c r="AG8" s="616"/>
    </row>
    <row r="9" spans="1:33">
      <c r="A9" s="644" t="s">
        <v>173</v>
      </c>
      <c r="B9" s="27" t="s">
        <v>174</v>
      </c>
      <c r="C9" s="658"/>
      <c r="D9" s="658"/>
      <c r="E9" s="470"/>
      <c r="F9" s="28"/>
      <c r="G9" s="12"/>
      <c r="H9" s="479"/>
      <c r="I9" s="21">
        <v>15.5</v>
      </c>
      <c r="J9" s="29">
        <v>2000</v>
      </c>
      <c r="K9" s="12">
        <f t="shared" si="1"/>
        <v>129.03225806451613</v>
      </c>
      <c r="L9" s="21">
        <v>15.5</v>
      </c>
      <c r="M9" s="13">
        <f>AVERAGE(M5:M8)</f>
        <v>1920.837281882162</v>
      </c>
      <c r="N9" s="12">
        <f t="shared" si="3"/>
        <v>123.92498592788142</v>
      </c>
      <c r="O9" s="14">
        <f t="shared" si="4"/>
        <v>0</v>
      </c>
      <c r="P9" s="15">
        <f t="shared" si="5"/>
        <v>-5.1072721366347054</v>
      </c>
      <c r="Q9" s="469">
        <f t="shared" si="6"/>
        <v>0.96041864094108098</v>
      </c>
      <c r="R9" s="616"/>
      <c r="S9" s="32"/>
      <c r="T9" s="32"/>
      <c r="U9" s="466"/>
      <c r="V9" s="478"/>
      <c r="W9" s="12"/>
      <c r="X9" s="12"/>
      <c r="Y9" s="22">
        <f>SUM(Y5:Y8)</f>
        <v>0</v>
      </c>
      <c r="Z9" s="22">
        <f>SUM(Z5:Z8)</f>
        <v>0</v>
      </c>
      <c r="AA9" s="611"/>
      <c r="AB9" s="611"/>
      <c r="AC9" s="22">
        <v>4</v>
      </c>
      <c r="AD9" s="22">
        <f>SUM(AD5:AD8)</f>
        <v>0</v>
      </c>
      <c r="AE9" s="14">
        <f t="shared" si="8"/>
        <v>-79.16271811783804</v>
      </c>
      <c r="AF9" s="469">
        <f t="shared" si="9"/>
        <v>0.96041864094108098</v>
      </c>
      <c r="AG9" s="616"/>
    </row>
    <row r="10" spans="1:33" ht="15.75" customHeight="1">
      <c r="A10" s="640" t="s">
        <v>2439</v>
      </c>
      <c r="B10" s="27" t="s">
        <v>8</v>
      </c>
      <c r="C10" s="638" t="s">
        <v>10</v>
      </c>
      <c r="D10" s="639"/>
      <c r="E10" s="27">
        <v>39.799999999999997</v>
      </c>
      <c r="F10" s="479">
        <v>3900</v>
      </c>
      <c r="G10" s="466">
        <f t="shared" ref="G10:G15" si="11">E10*F10</f>
        <v>155220</v>
      </c>
      <c r="H10" s="31">
        <v>2</v>
      </c>
      <c r="I10" s="477">
        <v>17</v>
      </c>
      <c r="J10" s="29">
        <v>1500</v>
      </c>
      <c r="K10" s="12">
        <f t="shared" si="1"/>
        <v>88.235294117647058</v>
      </c>
      <c r="L10" s="477">
        <v>17</v>
      </c>
      <c r="M10" s="13">
        <f t="shared" ref="M10:M15" si="12">F10/V10*60</f>
        <v>1435.5828220858896</v>
      </c>
      <c r="N10" s="12">
        <f t="shared" si="3"/>
        <v>84.446048357993504</v>
      </c>
      <c r="O10" s="14">
        <f t="shared" si="4"/>
        <v>0</v>
      </c>
      <c r="P10" s="15">
        <f t="shared" si="5"/>
        <v>-3.7892457596535536</v>
      </c>
      <c r="Q10" s="469">
        <f t="shared" si="6"/>
        <v>0.95705521472392641</v>
      </c>
      <c r="R10" s="616">
        <f>Q16</f>
        <v>0.95439778799252517</v>
      </c>
      <c r="S10" s="32">
        <v>8.3333333333333329E-2</v>
      </c>
      <c r="T10" s="32">
        <v>0.19652777777777777</v>
      </c>
      <c r="U10" s="466"/>
      <c r="V10" s="478">
        <f t="shared" ref="V10:V15" si="13">(T10-S10)*24*60</f>
        <v>163</v>
      </c>
      <c r="W10" s="16">
        <f>T10</f>
        <v>0.19652777777777777</v>
      </c>
      <c r="X10" s="16">
        <f>S11</f>
        <v>0.2159722222222222</v>
      </c>
      <c r="Y10" s="16"/>
      <c r="Z10" s="16"/>
      <c r="AA10" s="612"/>
      <c r="AB10" s="612"/>
      <c r="AC10" s="18">
        <v>6</v>
      </c>
      <c r="AD10" s="18"/>
      <c r="AE10" s="14">
        <f t="shared" si="8"/>
        <v>-64.417177914110425</v>
      </c>
      <c r="AF10" s="469">
        <f t="shared" si="9"/>
        <v>0.95705521472392641</v>
      </c>
      <c r="AG10" s="616">
        <f>AF16</f>
        <v>0.95439778799252528</v>
      </c>
    </row>
    <row r="11" spans="1:33" ht="15.75" customHeight="1">
      <c r="A11" s="640" t="s">
        <v>2439</v>
      </c>
      <c r="B11" s="27" t="s">
        <v>8</v>
      </c>
      <c r="C11" s="638" t="s">
        <v>63</v>
      </c>
      <c r="D11" s="639"/>
      <c r="E11" s="27">
        <v>39.46</v>
      </c>
      <c r="F11" s="479">
        <v>3515</v>
      </c>
      <c r="G11" s="466">
        <f t="shared" si="11"/>
        <v>138701.9</v>
      </c>
      <c r="H11" s="31" t="s">
        <v>40</v>
      </c>
      <c r="I11" s="477">
        <v>15</v>
      </c>
      <c r="J11" s="29">
        <v>1500</v>
      </c>
      <c r="K11" s="12">
        <f t="shared" si="1"/>
        <v>100</v>
      </c>
      <c r="L11" s="477">
        <v>15</v>
      </c>
      <c r="M11" s="13">
        <f t="shared" si="12"/>
        <v>1425</v>
      </c>
      <c r="N11" s="12">
        <f t="shared" si="3"/>
        <v>95</v>
      </c>
      <c r="O11" s="14">
        <f t="shared" si="4"/>
        <v>0</v>
      </c>
      <c r="P11" s="15">
        <f t="shared" si="5"/>
        <v>-5</v>
      </c>
      <c r="Q11" s="469">
        <f t="shared" si="6"/>
        <v>0.95</v>
      </c>
      <c r="R11" s="616"/>
      <c r="S11" s="32">
        <v>0.2159722222222222</v>
      </c>
      <c r="T11" s="32">
        <v>0.31874999999999998</v>
      </c>
      <c r="U11" s="466">
        <f t="shared" ref="U11:U15" si="14">IF(S11=TIME(17,0,0),"",(S11-T10)*24*60)</f>
        <v>27.999999999999979</v>
      </c>
      <c r="V11" s="478">
        <f t="shared" si="13"/>
        <v>148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-75</v>
      </c>
      <c r="AF11" s="469">
        <f t="shared" si="9"/>
        <v>0.95</v>
      </c>
      <c r="AG11" s="616"/>
    </row>
    <row r="12" spans="1:33" ht="15.75" customHeight="1">
      <c r="A12" s="640" t="s">
        <v>175</v>
      </c>
      <c r="B12" s="27" t="s">
        <v>8</v>
      </c>
      <c r="C12" s="638" t="s">
        <v>74</v>
      </c>
      <c r="D12" s="639"/>
      <c r="E12" s="27">
        <v>39.520000000000003</v>
      </c>
      <c r="F12" s="479">
        <v>2844</v>
      </c>
      <c r="G12" s="466">
        <f t="shared" si="11"/>
        <v>112394.88</v>
      </c>
      <c r="H12" s="31" t="s">
        <v>40</v>
      </c>
      <c r="I12" s="477">
        <v>19</v>
      </c>
      <c r="J12" s="29">
        <v>1500</v>
      </c>
      <c r="K12" s="12">
        <f t="shared" si="1"/>
        <v>78.94736842105263</v>
      </c>
      <c r="L12" s="477">
        <v>19</v>
      </c>
      <c r="M12" s="13">
        <f t="shared" si="12"/>
        <v>1433.9495798319333</v>
      </c>
      <c r="N12" s="12">
        <f t="shared" si="3"/>
        <v>75.471030517470169</v>
      </c>
      <c r="O12" s="14">
        <f t="shared" si="4"/>
        <v>0</v>
      </c>
      <c r="P12" s="15">
        <f t="shared" si="5"/>
        <v>-3.4763379035824613</v>
      </c>
      <c r="Q12" s="469">
        <f t="shared" si="6"/>
        <v>0.95596638655462218</v>
      </c>
      <c r="R12" s="616"/>
      <c r="S12" s="32">
        <v>0.32291666666666663</v>
      </c>
      <c r="T12" s="32">
        <v>0.4055555555555555</v>
      </c>
      <c r="U12" s="466">
        <f t="shared" si="14"/>
        <v>5.9999999999999787</v>
      </c>
      <c r="V12" s="478">
        <f t="shared" si="13"/>
        <v>118.99999999999997</v>
      </c>
      <c r="W12" s="16"/>
      <c r="X12" s="16"/>
      <c r="Y12" s="16"/>
      <c r="Z12" s="16"/>
      <c r="AA12" s="612"/>
      <c r="AB12" s="612"/>
      <c r="AC12" s="18"/>
      <c r="AD12" s="18"/>
      <c r="AE12" s="14">
        <f t="shared" si="8"/>
        <v>-66.050420168066694</v>
      </c>
      <c r="AF12" s="469">
        <f t="shared" si="9"/>
        <v>0.95596638655462218</v>
      </c>
      <c r="AG12" s="616"/>
    </row>
    <row r="13" spans="1:33" ht="15.75" customHeight="1">
      <c r="A13" s="640" t="s">
        <v>2439</v>
      </c>
      <c r="B13" s="27" t="s">
        <v>8</v>
      </c>
      <c r="C13" s="638" t="s">
        <v>9</v>
      </c>
      <c r="D13" s="639"/>
      <c r="E13" s="27">
        <v>39.619999999999997</v>
      </c>
      <c r="F13" s="479">
        <v>2900</v>
      </c>
      <c r="G13" s="466">
        <f t="shared" si="11"/>
        <v>114897.99999999999</v>
      </c>
      <c r="H13" s="31">
        <v>2</v>
      </c>
      <c r="I13" s="477">
        <v>19</v>
      </c>
      <c r="J13" s="29">
        <v>1500</v>
      </c>
      <c r="K13" s="12">
        <f t="shared" si="1"/>
        <v>78.94736842105263</v>
      </c>
      <c r="L13" s="477">
        <v>19</v>
      </c>
      <c r="M13" s="13">
        <f t="shared" si="12"/>
        <v>1426.2295081967218</v>
      </c>
      <c r="N13" s="12">
        <f t="shared" si="3"/>
        <v>75.064710957722198</v>
      </c>
      <c r="O13" s="14">
        <f t="shared" si="4"/>
        <v>0</v>
      </c>
      <c r="P13" s="15">
        <f t="shared" si="5"/>
        <v>-3.8826574633304318</v>
      </c>
      <c r="Q13" s="469">
        <f t="shared" si="6"/>
        <v>0.95081967213114782</v>
      </c>
      <c r="R13" s="616"/>
      <c r="S13" s="32">
        <v>0.41111111111111104</v>
      </c>
      <c r="T13" s="32">
        <v>0.49583333333333324</v>
      </c>
      <c r="U13" s="466">
        <f t="shared" si="14"/>
        <v>7.9999999999999716</v>
      </c>
      <c r="V13" s="478">
        <f t="shared" si="13"/>
        <v>121.99999999999997</v>
      </c>
      <c r="W13" s="16">
        <f>T13</f>
        <v>0.49583333333333324</v>
      </c>
      <c r="X13" s="16">
        <f>S14</f>
        <v>0.53680555555555542</v>
      </c>
      <c r="Y13" s="16"/>
      <c r="Z13" s="16"/>
      <c r="AA13" s="607"/>
      <c r="AB13" s="608"/>
      <c r="AC13" s="18"/>
      <c r="AD13" s="18"/>
      <c r="AE13" s="14">
        <f t="shared" si="8"/>
        <v>-73.770491803278219</v>
      </c>
      <c r="AF13" s="469">
        <f t="shared" si="9"/>
        <v>0.95081967213114782</v>
      </c>
      <c r="AG13" s="616"/>
    </row>
    <row r="14" spans="1:33" ht="15.75" customHeight="1">
      <c r="A14" s="640" t="s">
        <v>2439</v>
      </c>
      <c r="B14" s="27" t="s">
        <v>8</v>
      </c>
      <c r="C14" s="638" t="s">
        <v>10</v>
      </c>
      <c r="D14" s="639"/>
      <c r="E14" s="27">
        <v>39.799999999999997</v>
      </c>
      <c r="F14" s="479">
        <v>3150</v>
      </c>
      <c r="G14" s="466">
        <f t="shared" si="11"/>
        <v>125369.99999999999</v>
      </c>
      <c r="H14" s="31" t="s">
        <v>40</v>
      </c>
      <c r="I14" s="477">
        <v>17</v>
      </c>
      <c r="J14" s="29">
        <v>1500</v>
      </c>
      <c r="K14" s="12">
        <f t="shared" si="1"/>
        <v>88.235294117647058</v>
      </c>
      <c r="L14" s="477">
        <v>17</v>
      </c>
      <c r="M14" s="13">
        <f t="shared" si="12"/>
        <v>1431.8181818181818</v>
      </c>
      <c r="N14" s="12">
        <f t="shared" si="3"/>
        <v>84.224598930481278</v>
      </c>
      <c r="O14" s="14">
        <f t="shared" si="4"/>
        <v>0</v>
      </c>
      <c r="P14" s="15">
        <f t="shared" si="5"/>
        <v>-4.0106951871657799</v>
      </c>
      <c r="Q14" s="469">
        <f t="shared" si="6"/>
        <v>0.95454545454545447</v>
      </c>
      <c r="R14" s="616"/>
      <c r="S14" s="32">
        <v>0.53680555555555542</v>
      </c>
      <c r="T14" s="32">
        <v>0.6284722222222221</v>
      </c>
      <c r="U14" s="466">
        <f t="shared" si="14"/>
        <v>58.99999999999995</v>
      </c>
      <c r="V14" s="478">
        <f t="shared" si="13"/>
        <v>132</v>
      </c>
      <c r="W14" s="16"/>
      <c r="X14" s="16"/>
      <c r="Y14" s="19"/>
      <c r="Z14" s="19"/>
      <c r="AA14" s="607"/>
      <c r="AB14" s="608"/>
      <c r="AC14" s="18"/>
      <c r="AD14" s="18"/>
      <c r="AE14" s="14">
        <f t="shared" si="8"/>
        <v>-68.181818181818244</v>
      </c>
      <c r="AF14" s="469">
        <f t="shared" si="9"/>
        <v>0.95454545454545447</v>
      </c>
      <c r="AG14" s="616"/>
    </row>
    <row r="15" spans="1:33" ht="15.75" customHeight="1">
      <c r="A15" s="640" t="s">
        <v>2439</v>
      </c>
      <c r="B15" s="27" t="s">
        <v>8</v>
      </c>
      <c r="C15" s="638" t="s">
        <v>9</v>
      </c>
      <c r="D15" s="639"/>
      <c r="E15" s="27">
        <v>39.619999999999997</v>
      </c>
      <c r="F15" s="479">
        <v>2395</v>
      </c>
      <c r="G15" s="466">
        <f t="shared" si="11"/>
        <v>94889.9</v>
      </c>
      <c r="H15" s="31" t="s">
        <v>40</v>
      </c>
      <c r="I15" s="477">
        <v>19</v>
      </c>
      <c r="J15" s="29">
        <v>1500</v>
      </c>
      <c r="K15" s="12">
        <f t="shared" si="1"/>
        <v>78.94736842105263</v>
      </c>
      <c r="L15" s="477">
        <v>19</v>
      </c>
      <c r="M15" s="13">
        <f t="shared" si="12"/>
        <v>1437.0000000000005</v>
      </c>
      <c r="N15" s="12">
        <f t="shared" si="3"/>
        <v>75.631578947368439</v>
      </c>
      <c r="O15" s="14">
        <f t="shared" si="4"/>
        <v>0</v>
      </c>
      <c r="P15" s="15">
        <f t="shared" si="5"/>
        <v>-3.3157894736841911</v>
      </c>
      <c r="Q15" s="469">
        <f t="shared" si="6"/>
        <v>0.9580000000000003</v>
      </c>
      <c r="R15" s="616"/>
      <c r="S15" s="32">
        <v>0.63402777777777763</v>
      </c>
      <c r="T15" s="32">
        <v>0.70347222222222205</v>
      </c>
      <c r="U15" s="466">
        <f t="shared" si="14"/>
        <v>7.9999999999999716</v>
      </c>
      <c r="V15" s="478">
        <f t="shared" si="13"/>
        <v>99.999999999999972</v>
      </c>
      <c r="W15" s="16"/>
      <c r="X15" s="16"/>
      <c r="Y15" s="19"/>
      <c r="Z15" s="19"/>
      <c r="AA15" s="607"/>
      <c r="AB15" s="608"/>
      <c r="AC15" s="18"/>
      <c r="AD15" s="18"/>
      <c r="AE15" s="14">
        <f t="shared" si="8"/>
        <v>-62.999999999999545</v>
      </c>
      <c r="AF15" s="469">
        <f t="shared" si="9"/>
        <v>0.9580000000000003</v>
      </c>
      <c r="AG15" s="616"/>
    </row>
    <row r="16" spans="1:33" ht="16.5" customHeight="1">
      <c r="A16" s="640" t="s">
        <v>175</v>
      </c>
      <c r="B16" s="27" t="s">
        <v>2440</v>
      </c>
      <c r="C16" s="658"/>
      <c r="D16" s="658"/>
      <c r="E16" s="470"/>
      <c r="F16" s="29"/>
      <c r="G16" s="13"/>
      <c r="H16" s="479"/>
      <c r="I16" s="21">
        <v>17.666666666666668</v>
      </c>
      <c r="J16" s="29">
        <v>1500</v>
      </c>
      <c r="K16" s="12">
        <f t="shared" si="1"/>
        <v>84.905660377358487</v>
      </c>
      <c r="L16" s="21">
        <v>17.666666666666668</v>
      </c>
      <c r="M16" s="13">
        <f>AVERAGE(M10:M15)</f>
        <v>1431.5966819887879</v>
      </c>
      <c r="N16" s="12">
        <f t="shared" si="3"/>
        <v>81.03377445219553</v>
      </c>
      <c r="O16" s="14">
        <f t="shared" si="4"/>
        <v>0</v>
      </c>
      <c r="P16" s="15">
        <f t="shared" si="5"/>
        <v>-3.8718859251629567</v>
      </c>
      <c r="Q16" s="469">
        <f t="shared" si="6"/>
        <v>0.95439778799252517</v>
      </c>
      <c r="R16" s="616"/>
      <c r="S16" s="32"/>
      <c r="T16" s="32"/>
      <c r="U16" s="12"/>
      <c r="V16" s="478"/>
      <c r="W16" s="12"/>
      <c r="X16" s="12"/>
      <c r="Y16" s="22">
        <f>SUM(Y10:Y15)</f>
        <v>0</v>
      </c>
      <c r="Z16" s="22">
        <f>SUM(Z10:Z15)</f>
        <v>0</v>
      </c>
      <c r="AA16" s="611"/>
      <c r="AB16" s="611"/>
      <c r="AC16" s="22">
        <v>6</v>
      </c>
      <c r="AD16" s="22">
        <f>SUM(AD10:AD15)</f>
        <v>0</v>
      </c>
      <c r="AE16" s="14">
        <f t="shared" si="8"/>
        <v>-68.40331801121215</v>
      </c>
      <c r="AF16" s="469">
        <f t="shared" si="9"/>
        <v>0.95439778799252528</v>
      </c>
      <c r="AG16" s="616"/>
    </row>
    <row r="17" spans="1:33" ht="16.5" customHeight="1">
      <c r="A17" s="636" t="s">
        <v>463</v>
      </c>
      <c r="B17" s="479" t="s">
        <v>1134</v>
      </c>
      <c r="C17" s="659" t="s">
        <v>1035</v>
      </c>
      <c r="D17" s="659"/>
      <c r="E17" s="27">
        <v>31.11</v>
      </c>
      <c r="F17" s="479">
        <v>3520</v>
      </c>
      <c r="G17" s="466">
        <f t="shared" ref="G17:G24" si="15">E17*F17</f>
        <v>109507.2</v>
      </c>
      <c r="H17" s="31" t="s">
        <v>40</v>
      </c>
      <c r="I17" s="477">
        <v>14</v>
      </c>
      <c r="J17" s="29">
        <v>2000</v>
      </c>
      <c r="K17" s="12">
        <f t="shared" si="1"/>
        <v>142.85714285714286</v>
      </c>
      <c r="L17" s="477">
        <v>14</v>
      </c>
      <c r="M17" s="13">
        <f t="shared" ref="M17:M24" si="16">F17/V17*60</f>
        <v>1902.7027027027032</v>
      </c>
      <c r="N17" s="12">
        <f t="shared" si="3"/>
        <v>135.90733590733595</v>
      </c>
      <c r="O17" s="14">
        <f t="shared" si="4"/>
        <v>0</v>
      </c>
      <c r="P17" s="15">
        <f t="shared" si="5"/>
        <v>-6.9498069498069128</v>
      </c>
      <c r="Q17" s="469">
        <f t="shared" si="6"/>
        <v>0.95135135135135163</v>
      </c>
      <c r="R17" s="616">
        <f>Q25</f>
        <v>0.95936602993139986</v>
      </c>
      <c r="S17" s="32">
        <v>8.3333333333333329E-2</v>
      </c>
      <c r="T17" s="32">
        <v>0.16041666666666665</v>
      </c>
      <c r="U17" s="466"/>
      <c r="V17" s="478">
        <f t="shared" ref="V17:V24" si="17">(T17-S17)*24*60</f>
        <v>110.99999999999997</v>
      </c>
      <c r="W17" s="16">
        <f>T17</f>
        <v>0.16041666666666665</v>
      </c>
      <c r="X17" s="16">
        <f>S18</f>
        <v>0.17916666666666664</v>
      </c>
      <c r="Y17" s="20"/>
      <c r="Z17" s="20"/>
      <c r="AA17" s="612"/>
      <c r="AB17" s="612"/>
      <c r="AC17" s="18">
        <v>8</v>
      </c>
      <c r="AD17" s="18"/>
      <c r="AE17" s="14">
        <f t="shared" si="8"/>
        <v>-97.297297297296836</v>
      </c>
      <c r="AF17" s="469">
        <f t="shared" si="9"/>
        <v>0.95135135135135163</v>
      </c>
      <c r="AG17" s="616">
        <f>AF25</f>
        <v>0.95936602993139986</v>
      </c>
    </row>
    <row r="18" spans="1:33" ht="16.5" customHeight="1">
      <c r="A18" s="637" t="s">
        <v>463</v>
      </c>
      <c r="B18" s="479" t="s">
        <v>11</v>
      </c>
      <c r="C18" s="659" t="s">
        <v>67</v>
      </c>
      <c r="D18" s="659"/>
      <c r="E18" s="27">
        <v>38.619999999999997</v>
      </c>
      <c r="F18" s="479">
        <v>2581</v>
      </c>
      <c r="G18" s="466">
        <f t="shared" si="15"/>
        <v>99678.219999999987</v>
      </c>
      <c r="H18" s="31" t="s">
        <v>40</v>
      </c>
      <c r="I18" s="477">
        <v>24</v>
      </c>
      <c r="J18" s="29">
        <v>1500</v>
      </c>
      <c r="K18" s="12">
        <f t="shared" si="1"/>
        <v>62.5</v>
      </c>
      <c r="L18" s="477">
        <v>24</v>
      </c>
      <c r="M18" s="13">
        <f t="shared" si="16"/>
        <v>1433.8888888888887</v>
      </c>
      <c r="N18" s="12">
        <f t="shared" si="3"/>
        <v>59.74537037037036</v>
      </c>
      <c r="O18" s="14">
        <f t="shared" si="4"/>
        <v>0</v>
      </c>
      <c r="P18" s="15">
        <f t="shared" si="5"/>
        <v>-2.7546296296296404</v>
      </c>
      <c r="Q18" s="469">
        <f t="shared" si="6"/>
        <v>0.95592592592592573</v>
      </c>
      <c r="R18" s="616"/>
      <c r="S18" s="32">
        <v>0.17916666666666664</v>
      </c>
      <c r="T18" s="32">
        <v>0.25416666666666665</v>
      </c>
      <c r="U18" s="466">
        <f t="shared" ref="U18:U24" si="18">IF(S18=TIME(17,0,0),"",(S18-T17)*24*60)</f>
        <v>26.999999999999986</v>
      </c>
      <c r="V18" s="478">
        <f t="shared" si="17"/>
        <v>108.00000000000001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-66.111111111111313</v>
      </c>
      <c r="AF18" s="469">
        <f t="shared" si="9"/>
        <v>0.95592592592592585</v>
      </c>
      <c r="AG18" s="616"/>
    </row>
    <row r="19" spans="1:33" ht="16.5" customHeight="1">
      <c r="A19" s="637" t="s">
        <v>463</v>
      </c>
      <c r="B19" s="479" t="s">
        <v>11</v>
      </c>
      <c r="C19" s="659" t="s">
        <v>12</v>
      </c>
      <c r="D19" s="659"/>
      <c r="E19" s="27">
        <v>41</v>
      </c>
      <c r="F19" s="479">
        <v>2237</v>
      </c>
      <c r="G19" s="466">
        <f t="shared" si="15"/>
        <v>91717</v>
      </c>
      <c r="H19" s="31" t="s">
        <v>40</v>
      </c>
      <c r="I19" s="477">
        <v>26</v>
      </c>
      <c r="J19" s="29">
        <v>1500</v>
      </c>
      <c r="K19" s="12">
        <f t="shared" si="1"/>
        <v>57.692307692307693</v>
      </c>
      <c r="L19" s="477">
        <v>26</v>
      </c>
      <c r="M19" s="13">
        <f t="shared" si="16"/>
        <v>1443.2258064516132</v>
      </c>
      <c r="N19" s="12">
        <f t="shared" si="3"/>
        <v>55.508684863523584</v>
      </c>
      <c r="O19" s="14">
        <f t="shared" si="4"/>
        <v>0</v>
      </c>
      <c r="P19" s="15">
        <f t="shared" si="5"/>
        <v>-2.1836228287841095</v>
      </c>
      <c r="Q19" s="469">
        <f t="shared" si="6"/>
        <v>0.96215053763440872</v>
      </c>
      <c r="R19" s="616"/>
      <c r="S19" s="32">
        <v>0.2583333333333333</v>
      </c>
      <c r="T19" s="32">
        <v>0.32291666666666663</v>
      </c>
      <c r="U19" s="466">
        <f t="shared" si="18"/>
        <v>5.9999999999999787</v>
      </c>
      <c r="V19" s="478">
        <f t="shared" si="17"/>
        <v>92.999999999999986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-56.774193548386847</v>
      </c>
      <c r="AF19" s="469">
        <f t="shared" si="9"/>
        <v>0.96215053763440872</v>
      </c>
      <c r="AG19" s="616"/>
    </row>
    <row r="20" spans="1:33" ht="16.5" customHeight="1">
      <c r="A20" s="637" t="s">
        <v>463</v>
      </c>
      <c r="B20" s="479" t="s">
        <v>5</v>
      </c>
      <c r="C20" s="659" t="s">
        <v>66</v>
      </c>
      <c r="D20" s="659"/>
      <c r="E20" s="27">
        <v>37.03</v>
      </c>
      <c r="F20" s="479">
        <v>3595</v>
      </c>
      <c r="G20" s="466">
        <f t="shared" si="15"/>
        <v>133122.85</v>
      </c>
      <c r="H20" s="31" t="s">
        <v>40</v>
      </c>
      <c r="I20" s="477">
        <v>13</v>
      </c>
      <c r="J20" s="29">
        <v>1500</v>
      </c>
      <c r="K20" s="12">
        <f t="shared" si="1"/>
        <v>115.38461538461539</v>
      </c>
      <c r="L20" s="477">
        <v>13</v>
      </c>
      <c r="M20" s="13">
        <f t="shared" si="16"/>
        <v>1437.9999999999998</v>
      </c>
      <c r="N20" s="12">
        <f t="shared" si="3"/>
        <v>110.6153846153846</v>
      </c>
      <c r="O20" s="14">
        <f t="shared" si="4"/>
        <v>0</v>
      </c>
      <c r="P20" s="15">
        <f t="shared" si="5"/>
        <v>-4.7692307692307878</v>
      </c>
      <c r="Q20" s="469">
        <f t="shared" si="6"/>
        <v>0.95866666666666656</v>
      </c>
      <c r="R20" s="616"/>
      <c r="S20" s="32">
        <v>0.32638888888888884</v>
      </c>
      <c r="T20" s="32">
        <v>0.43055555555555552</v>
      </c>
      <c r="U20" s="466">
        <f t="shared" si="18"/>
        <v>4.9999999999999822</v>
      </c>
      <c r="V20" s="478">
        <f t="shared" si="17"/>
        <v>150.00000000000003</v>
      </c>
      <c r="W20" s="16"/>
      <c r="X20" s="16"/>
      <c r="Y20" s="16"/>
      <c r="Z20" s="16"/>
      <c r="AA20" s="612"/>
      <c r="AB20" s="612"/>
      <c r="AC20" s="18"/>
      <c r="AD20" s="18"/>
      <c r="AE20" s="14">
        <f t="shared" si="8"/>
        <v>-62.000000000000227</v>
      </c>
      <c r="AF20" s="469">
        <f t="shared" si="9"/>
        <v>0.95866666666666656</v>
      </c>
      <c r="AG20" s="616"/>
    </row>
    <row r="21" spans="1:33" ht="16.5" customHeight="1">
      <c r="A21" s="637" t="s">
        <v>463</v>
      </c>
      <c r="B21" s="479" t="s">
        <v>5</v>
      </c>
      <c r="C21" s="659" t="s">
        <v>6</v>
      </c>
      <c r="D21" s="659"/>
      <c r="E21" s="27">
        <v>50.67</v>
      </c>
      <c r="F21" s="479">
        <v>1633</v>
      </c>
      <c r="G21" s="466">
        <f t="shared" si="15"/>
        <v>82744.11</v>
      </c>
      <c r="H21" s="31" t="s">
        <v>40</v>
      </c>
      <c r="I21" s="477">
        <v>17</v>
      </c>
      <c r="J21" s="29">
        <v>2000</v>
      </c>
      <c r="K21" s="12">
        <f t="shared" si="1"/>
        <v>117.64705882352941</v>
      </c>
      <c r="L21" s="477">
        <v>17</v>
      </c>
      <c r="M21" s="13">
        <f t="shared" si="16"/>
        <v>1921.176470588236</v>
      </c>
      <c r="N21" s="12">
        <f t="shared" si="3"/>
        <v>113.01038062283742</v>
      </c>
      <c r="O21" s="14">
        <f t="shared" si="4"/>
        <v>0</v>
      </c>
      <c r="P21" s="15">
        <f t="shared" si="5"/>
        <v>-4.6366782006919891</v>
      </c>
      <c r="Q21" s="469">
        <f t="shared" si="6"/>
        <v>0.96058823529411808</v>
      </c>
      <c r="R21" s="616"/>
      <c r="S21" s="32">
        <v>0.70833333333333337</v>
      </c>
      <c r="T21" s="32">
        <v>0.74375000000000002</v>
      </c>
      <c r="U21" s="466" t="str">
        <f t="shared" si="18"/>
        <v/>
      </c>
      <c r="V21" s="478">
        <f t="shared" si="17"/>
        <v>50.999999999999979</v>
      </c>
      <c r="W21" s="16"/>
      <c r="X21" s="16"/>
      <c r="Y21" s="16"/>
      <c r="Z21" s="16"/>
      <c r="AA21" s="612"/>
      <c r="AB21" s="612"/>
      <c r="AC21" s="18"/>
      <c r="AD21" s="18"/>
      <c r="AE21" s="14">
        <f t="shared" si="8"/>
        <v>-78.823529411763957</v>
      </c>
      <c r="AF21" s="469">
        <f t="shared" si="9"/>
        <v>0.96058823529411808</v>
      </c>
      <c r="AG21" s="616"/>
    </row>
    <row r="22" spans="1:33" ht="16.5" customHeight="1">
      <c r="A22" s="637" t="s">
        <v>2441</v>
      </c>
      <c r="B22" s="479" t="s">
        <v>5</v>
      </c>
      <c r="C22" s="475" t="s">
        <v>615</v>
      </c>
      <c r="D22" s="476"/>
      <c r="E22" s="27">
        <v>54.5</v>
      </c>
      <c r="F22" s="479">
        <v>1000</v>
      </c>
      <c r="G22" s="466">
        <f t="shared" si="15"/>
        <v>54500</v>
      </c>
      <c r="H22" s="31">
        <v>2</v>
      </c>
      <c r="I22" s="477">
        <v>20</v>
      </c>
      <c r="J22" s="29">
        <v>1500</v>
      </c>
      <c r="K22" s="12">
        <f t="shared" si="1"/>
        <v>75</v>
      </c>
      <c r="L22" s="477">
        <v>20</v>
      </c>
      <c r="M22" s="13">
        <f t="shared" si="16"/>
        <v>1463.4146341463411</v>
      </c>
      <c r="N22" s="12">
        <f t="shared" si="3"/>
        <v>73.17073170731706</v>
      </c>
      <c r="O22" s="14">
        <f t="shared" si="4"/>
        <v>0</v>
      </c>
      <c r="P22" s="15">
        <f t="shared" si="5"/>
        <v>-1.82926829268294</v>
      </c>
      <c r="Q22" s="469">
        <f t="shared" si="6"/>
        <v>0.97560975609756084</v>
      </c>
      <c r="R22" s="616"/>
      <c r="S22" s="32">
        <v>0.74861111111111112</v>
      </c>
      <c r="T22" s="32">
        <v>0.77708333333333335</v>
      </c>
      <c r="U22" s="466">
        <f t="shared" si="18"/>
        <v>6.9999999999999751</v>
      </c>
      <c r="V22" s="478">
        <f t="shared" si="17"/>
        <v>41.000000000000014</v>
      </c>
      <c r="W22" s="16"/>
      <c r="X22" s="16"/>
      <c r="Y22" s="19"/>
      <c r="Z22" s="19"/>
      <c r="AA22" s="473"/>
      <c r="AB22" s="474"/>
      <c r="AC22" s="18"/>
      <c r="AD22" s="18"/>
      <c r="AE22" s="14">
        <f t="shared" si="8"/>
        <v>-36.585365853658914</v>
      </c>
      <c r="AF22" s="469">
        <f t="shared" si="9"/>
        <v>0.97560975609756073</v>
      </c>
      <c r="AG22" s="616"/>
    </row>
    <row r="23" spans="1:33" ht="16.5" customHeight="1">
      <c r="A23" s="637" t="s">
        <v>2441</v>
      </c>
      <c r="B23" s="479" t="s">
        <v>5</v>
      </c>
      <c r="C23" s="475" t="s">
        <v>18</v>
      </c>
      <c r="D23" s="476"/>
      <c r="E23" s="27">
        <v>50.49</v>
      </c>
      <c r="F23" s="479">
        <v>1883</v>
      </c>
      <c r="G23" s="466">
        <f t="shared" si="15"/>
        <v>95072.67</v>
      </c>
      <c r="H23" s="31" t="s">
        <v>40</v>
      </c>
      <c r="I23" s="477">
        <v>15</v>
      </c>
      <c r="J23" s="29">
        <v>2000</v>
      </c>
      <c r="K23" s="12">
        <f t="shared" si="1"/>
        <v>133.33333333333334</v>
      </c>
      <c r="L23" s="477">
        <v>15</v>
      </c>
      <c r="M23" s="13">
        <f t="shared" si="16"/>
        <v>1914.9152542372899</v>
      </c>
      <c r="N23" s="12">
        <f t="shared" si="3"/>
        <v>127.66101694915265</v>
      </c>
      <c r="O23" s="14">
        <f t="shared" si="4"/>
        <v>0</v>
      </c>
      <c r="P23" s="15">
        <f t="shared" si="5"/>
        <v>-5.6723163841806894</v>
      </c>
      <c r="Q23" s="469">
        <f t="shared" si="6"/>
        <v>0.95745762711864479</v>
      </c>
      <c r="R23" s="616"/>
      <c r="S23" s="32">
        <v>0.78263888888888888</v>
      </c>
      <c r="T23" s="32">
        <v>0.82361111111111107</v>
      </c>
      <c r="U23" s="466">
        <f t="shared" si="18"/>
        <v>7.9999999999999716</v>
      </c>
      <c r="V23" s="478">
        <f t="shared" si="17"/>
        <v>58.99999999999995</v>
      </c>
      <c r="W23" s="16">
        <f>T23</f>
        <v>0.82361111111111107</v>
      </c>
      <c r="X23" s="16">
        <f>S24</f>
        <v>0.86388888888888882</v>
      </c>
      <c r="Y23" s="19"/>
      <c r="Z23" s="19"/>
      <c r="AA23" s="473"/>
      <c r="AB23" s="474"/>
      <c r="AC23" s="18"/>
      <c r="AD23" s="18"/>
      <c r="AE23" s="14">
        <f t="shared" si="8"/>
        <v>-85.084745762710099</v>
      </c>
      <c r="AF23" s="469">
        <f t="shared" si="9"/>
        <v>0.95745762711864491</v>
      </c>
      <c r="AG23" s="616"/>
    </row>
    <row r="24" spans="1:33" ht="16.5" customHeight="1">
      <c r="A24" s="637" t="s">
        <v>463</v>
      </c>
      <c r="B24" s="479" t="s">
        <v>5</v>
      </c>
      <c r="C24" s="475" t="s">
        <v>615</v>
      </c>
      <c r="D24" s="476"/>
      <c r="E24" s="27">
        <v>54.5</v>
      </c>
      <c r="F24" s="479">
        <v>1219</v>
      </c>
      <c r="G24" s="466">
        <f t="shared" si="15"/>
        <v>66435.5</v>
      </c>
      <c r="H24" s="31" t="s">
        <v>40</v>
      </c>
      <c r="I24" s="477">
        <v>20</v>
      </c>
      <c r="J24" s="29">
        <v>1500</v>
      </c>
      <c r="K24" s="12">
        <f t="shared" si="1"/>
        <v>75</v>
      </c>
      <c r="L24" s="477">
        <v>20</v>
      </c>
      <c r="M24" s="13">
        <f t="shared" si="16"/>
        <v>1434.1176470588241</v>
      </c>
      <c r="N24" s="12">
        <f t="shared" si="3"/>
        <v>71.705882352941202</v>
      </c>
      <c r="O24" s="14">
        <f t="shared" si="4"/>
        <v>0</v>
      </c>
      <c r="P24" s="15">
        <f t="shared" si="5"/>
        <v>-3.2941176470587976</v>
      </c>
      <c r="Q24" s="469">
        <f t="shared" si="6"/>
        <v>0.95607843137254933</v>
      </c>
      <c r="R24" s="616"/>
      <c r="S24" s="32">
        <v>0.86388888888888882</v>
      </c>
      <c r="T24" s="32">
        <v>0.89930555555555547</v>
      </c>
      <c r="U24" s="466">
        <f t="shared" si="18"/>
        <v>57.999999999999957</v>
      </c>
      <c r="V24" s="478">
        <f t="shared" si="17"/>
        <v>50.999999999999979</v>
      </c>
      <c r="W24" s="16"/>
      <c r="X24" s="16"/>
      <c r="Y24" s="19"/>
      <c r="Z24" s="19"/>
      <c r="AA24" s="473"/>
      <c r="AB24" s="474"/>
      <c r="AC24" s="18"/>
      <c r="AD24" s="18"/>
      <c r="AE24" s="14">
        <f t="shared" si="8"/>
        <v>-65.882352941175895</v>
      </c>
      <c r="AF24" s="469">
        <f t="shared" si="9"/>
        <v>0.95607843137254944</v>
      </c>
      <c r="AG24" s="616"/>
    </row>
    <row r="25" spans="1:33" ht="16.5" customHeight="1">
      <c r="A25" s="637" t="s">
        <v>2441</v>
      </c>
      <c r="B25" s="27" t="s">
        <v>174</v>
      </c>
      <c r="C25" s="658"/>
      <c r="D25" s="658"/>
      <c r="E25" s="470"/>
      <c r="F25" s="28"/>
      <c r="G25" s="12"/>
      <c r="H25" s="479"/>
      <c r="I25" s="21">
        <v>18.625</v>
      </c>
      <c r="J25" s="29">
        <v>1687.5</v>
      </c>
      <c r="K25" s="12">
        <f t="shared" si="1"/>
        <v>90.604026845637577</v>
      </c>
      <c r="L25" s="21">
        <v>18.625</v>
      </c>
      <c r="M25" s="13">
        <f>AVERAGE(M17:M24)</f>
        <v>1618.9301755092372</v>
      </c>
      <c r="N25" s="12">
        <f t="shared" si="3"/>
        <v>86.922425530697296</v>
      </c>
      <c r="O25" s="14">
        <f t="shared" si="4"/>
        <v>0</v>
      </c>
      <c r="P25" s="15">
        <f t="shared" si="5"/>
        <v>-3.6816013149402806</v>
      </c>
      <c r="Q25" s="469">
        <f t="shared" si="6"/>
        <v>0.95936602993139986</v>
      </c>
      <c r="R25" s="616"/>
      <c r="S25" s="32"/>
      <c r="T25" s="32"/>
      <c r="U25" s="466"/>
      <c r="V25" s="478"/>
      <c r="W25" s="12"/>
      <c r="X25" s="12"/>
      <c r="Y25" s="22">
        <f>SUM(Y17:Y24)</f>
        <v>0</v>
      </c>
      <c r="Z25" s="22">
        <f>SUM(Z17:Z24)</f>
        <v>0</v>
      </c>
      <c r="AA25" s="611"/>
      <c r="AB25" s="611"/>
      <c r="AC25" s="22">
        <v>8</v>
      </c>
      <c r="AD25" s="22">
        <f>SUM(AD17:AD24)</f>
        <v>0</v>
      </c>
      <c r="AE25" s="14">
        <f t="shared" si="8"/>
        <v>-68.569824490762812</v>
      </c>
      <c r="AF25" s="469">
        <f t="shared" si="9"/>
        <v>0.95936602993139986</v>
      </c>
      <c r="AG25" s="616"/>
    </row>
    <row r="26" spans="1:33" ht="15.75" customHeight="1">
      <c r="A26" s="634" t="s">
        <v>372</v>
      </c>
      <c r="B26" s="27" t="s">
        <v>5</v>
      </c>
      <c r="C26" s="659" t="s">
        <v>16</v>
      </c>
      <c r="D26" s="659"/>
      <c r="E26" s="27">
        <v>50.67</v>
      </c>
      <c r="F26" s="479">
        <v>2119</v>
      </c>
      <c r="G26" s="466">
        <f t="shared" ref="G26:G32" si="19">E26*F26</f>
        <v>107369.73000000001</v>
      </c>
      <c r="H26" s="31" t="s">
        <v>40</v>
      </c>
      <c r="I26" s="477">
        <v>17</v>
      </c>
      <c r="J26" s="29">
        <v>2000</v>
      </c>
      <c r="K26" s="12">
        <f t="shared" si="1"/>
        <v>117.64705882352941</v>
      </c>
      <c r="L26" s="477">
        <v>17</v>
      </c>
      <c r="M26" s="13">
        <f t="shared" ref="M26:M32" si="20">F26/V26*60</f>
        <v>1926.3636363636374</v>
      </c>
      <c r="N26" s="12">
        <f t="shared" si="3"/>
        <v>113.31550802139043</v>
      </c>
      <c r="O26" s="14">
        <f t="shared" si="4"/>
        <v>0</v>
      </c>
      <c r="P26" s="15">
        <f t="shared" si="5"/>
        <v>-4.3315508021389775</v>
      </c>
      <c r="Q26" s="469">
        <f t="shared" si="6"/>
        <v>0.96318181818181869</v>
      </c>
      <c r="R26" s="616">
        <f>Q33</f>
        <v>0.95996451586385656</v>
      </c>
      <c r="S26" s="32">
        <v>0.20833333333333334</v>
      </c>
      <c r="T26" s="32">
        <v>0.25416666666666665</v>
      </c>
      <c r="U26" s="466"/>
      <c r="V26" s="478">
        <f t="shared" ref="V26:V32" si="21">(T26-S26)*24*60</f>
        <v>65.999999999999972</v>
      </c>
      <c r="W26" s="16"/>
      <c r="X26" s="16"/>
      <c r="Y26" s="20"/>
      <c r="Z26" s="20"/>
      <c r="AA26" s="612"/>
      <c r="AB26" s="612"/>
      <c r="AC26" s="18">
        <v>7</v>
      </c>
      <c r="AD26" s="18"/>
      <c r="AE26" s="14">
        <f t="shared" si="8"/>
        <v>-73.636363636362603</v>
      </c>
      <c r="AF26" s="469">
        <f t="shared" si="9"/>
        <v>0.96318181818181869</v>
      </c>
      <c r="AG26" s="616">
        <f>AF33</f>
        <v>0.95996451586385645</v>
      </c>
    </row>
    <row r="27" spans="1:33" ht="15.75" customHeight="1">
      <c r="A27" s="635" t="s">
        <v>372</v>
      </c>
      <c r="B27" s="27" t="s">
        <v>5</v>
      </c>
      <c r="C27" s="659" t="s">
        <v>17</v>
      </c>
      <c r="D27" s="659"/>
      <c r="E27" s="27">
        <v>57.73</v>
      </c>
      <c r="F27" s="479">
        <v>2765</v>
      </c>
      <c r="G27" s="466">
        <f t="shared" si="19"/>
        <v>159623.44999999998</v>
      </c>
      <c r="H27" s="31" t="s">
        <v>40</v>
      </c>
      <c r="I27" s="477">
        <v>14</v>
      </c>
      <c r="J27" s="29">
        <v>2000</v>
      </c>
      <c r="K27" s="12">
        <f t="shared" si="1"/>
        <v>142.85714285714286</v>
      </c>
      <c r="L27" s="477">
        <v>14</v>
      </c>
      <c r="M27" s="13">
        <f t="shared" si="20"/>
        <v>1906.8965517241377</v>
      </c>
      <c r="N27" s="12">
        <f t="shared" si="3"/>
        <v>136.20689655172413</v>
      </c>
      <c r="O27" s="14">
        <f t="shared" si="4"/>
        <v>0</v>
      </c>
      <c r="P27" s="15">
        <f t="shared" si="5"/>
        <v>-6.6502463054187331</v>
      </c>
      <c r="Q27" s="469">
        <f t="shared" si="6"/>
        <v>0.95344827586206882</v>
      </c>
      <c r="R27" s="616"/>
      <c r="S27" s="32">
        <v>0.25763888888888886</v>
      </c>
      <c r="T27" s="32">
        <v>0.31805555555555554</v>
      </c>
      <c r="U27" s="466">
        <f t="shared" ref="U27:U32" si="22">IF(S27=TIME(17,0,0),"",(S27-T26)*24*60)</f>
        <v>4.9999999999999822</v>
      </c>
      <c r="V27" s="478">
        <f t="shared" si="21"/>
        <v>87.000000000000014</v>
      </c>
      <c r="W27" s="16"/>
      <c r="X27" s="466"/>
      <c r="Y27" s="466"/>
      <c r="Z27" s="466"/>
      <c r="AA27" s="612"/>
      <c r="AB27" s="612"/>
      <c r="AC27" s="18"/>
      <c r="AD27" s="18"/>
      <c r="AE27" s="14">
        <f t="shared" si="8"/>
        <v>-93.10344827586232</v>
      </c>
      <c r="AF27" s="469">
        <f t="shared" si="9"/>
        <v>0.95344827586206882</v>
      </c>
      <c r="AG27" s="616"/>
    </row>
    <row r="28" spans="1:33" ht="15.75" customHeight="1">
      <c r="A28" s="635" t="s">
        <v>2442</v>
      </c>
      <c r="B28" s="27" t="s">
        <v>5</v>
      </c>
      <c r="C28" s="659" t="s">
        <v>60</v>
      </c>
      <c r="D28" s="659"/>
      <c r="E28" s="27">
        <v>53.27</v>
      </c>
      <c r="F28" s="479">
        <v>1874</v>
      </c>
      <c r="G28" s="466">
        <f t="shared" si="19"/>
        <v>99827.98000000001</v>
      </c>
      <c r="H28" s="31" t="s">
        <v>40</v>
      </c>
      <c r="I28" s="477">
        <v>16</v>
      </c>
      <c r="J28" s="29">
        <v>2000</v>
      </c>
      <c r="K28" s="12">
        <f t="shared" si="1"/>
        <v>125</v>
      </c>
      <c r="L28" s="477">
        <v>16</v>
      </c>
      <c r="M28" s="13">
        <f t="shared" si="20"/>
        <v>1905.7627118644059</v>
      </c>
      <c r="N28" s="12">
        <f t="shared" si="3"/>
        <v>119.11016949152537</v>
      </c>
      <c r="O28" s="14">
        <f t="shared" si="4"/>
        <v>0</v>
      </c>
      <c r="P28" s="15">
        <f t="shared" si="5"/>
        <v>-5.8898305084746312</v>
      </c>
      <c r="Q28" s="469">
        <f t="shared" si="6"/>
        <v>0.95288135593220291</v>
      </c>
      <c r="R28" s="616"/>
      <c r="S28" s="32">
        <v>0.32361111111111107</v>
      </c>
      <c r="T28" s="32">
        <v>0.36458333333333331</v>
      </c>
      <c r="U28" s="466">
        <f t="shared" si="22"/>
        <v>7.9999999999999716</v>
      </c>
      <c r="V28" s="478">
        <f t="shared" si="21"/>
        <v>59.000000000000028</v>
      </c>
      <c r="W28" s="16"/>
      <c r="X28" s="466"/>
      <c r="Y28" s="466"/>
      <c r="Z28" s="466"/>
      <c r="AA28" s="612"/>
      <c r="AB28" s="612"/>
      <c r="AC28" s="18"/>
      <c r="AD28" s="18"/>
      <c r="AE28" s="14">
        <f t="shared" si="8"/>
        <v>-94.237288135594099</v>
      </c>
      <c r="AF28" s="469">
        <f t="shared" si="9"/>
        <v>0.95288135593220291</v>
      </c>
      <c r="AG28" s="616"/>
    </row>
    <row r="29" spans="1:33" ht="15.75" customHeight="1">
      <c r="A29" s="635" t="s">
        <v>2442</v>
      </c>
      <c r="B29" s="27" t="s">
        <v>5</v>
      </c>
      <c r="C29" s="659" t="s">
        <v>65</v>
      </c>
      <c r="D29" s="659"/>
      <c r="E29" s="27">
        <v>56.43</v>
      </c>
      <c r="F29" s="479">
        <v>1413</v>
      </c>
      <c r="G29" s="466">
        <f t="shared" si="19"/>
        <v>79735.59</v>
      </c>
      <c r="H29" s="31" t="s">
        <v>40</v>
      </c>
      <c r="I29" s="477">
        <v>13</v>
      </c>
      <c r="J29" s="29">
        <v>2000</v>
      </c>
      <c r="K29" s="12">
        <f t="shared" si="1"/>
        <v>153.84615384615384</v>
      </c>
      <c r="L29" s="477">
        <v>13</v>
      </c>
      <c r="M29" s="13">
        <f t="shared" si="20"/>
        <v>1926.818181818182</v>
      </c>
      <c r="N29" s="12">
        <f t="shared" si="3"/>
        <v>148.21678321678323</v>
      </c>
      <c r="O29" s="14">
        <f t="shared" si="4"/>
        <v>0</v>
      </c>
      <c r="P29" s="15">
        <f t="shared" si="5"/>
        <v>-5.6293706293706123</v>
      </c>
      <c r="Q29" s="469">
        <f t="shared" si="6"/>
        <v>0.96340909090909099</v>
      </c>
      <c r="R29" s="616"/>
      <c r="S29" s="32">
        <v>0.70833333333333337</v>
      </c>
      <c r="T29" s="32">
        <v>0.73888888888888893</v>
      </c>
      <c r="U29" s="466" t="str">
        <f t="shared" si="22"/>
        <v/>
      </c>
      <c r="V29" s="478">
        <f t="shared" si="21"/>
        <v>44</v>
      </c>
      <c r="W29" s="16"/>
      <c r="X29" s="466"/>
      <c r="Y29" s="466"/>
      <c r="Z29" s="466"/>
      <c r="AA29" s="612"/>
      <c r="AB29" s="612"/>
      <c r="AC29" s="18"/>
      <c r="AD29" s="18"/>
      <c r="AE29" s="14">
        <f t="shared" si="8"/>
        <v>-73.181818181818016</v>
      </c>
      <c r="AF29" s="469">
        <f t="shared" si="9"/>
        <v>0.96340909090909099</v>
      </c>
      <c r="AG29" s="616"/>
    </row>
    <row r="30" spans="1:33" ht="15.75" customHeight="1">
      <c r="A30" s="635" t="s">
        <v>2442</v>
      </c>
      <c r="B30" s="27" t="s">
        <v>5</v>
      </c>
      <c r="C30" s="659" t="s">
        <v>1322</v>
      </c>
      <c r="D30" s="659"/>
      <c r="E30" s="27">
        <v>54.09</v>
      </c>
      <c r="F30" s="479">
        <v>2783</v>
      </c>
      <c r="G30" s="466">
        <f t="shared" si="19"/>
        <v>150532.47</v>
      </c>
      <c r="H30" s="31" t="s">
        <v>40</v>
      </c>
      <c r="I30" s="477">
        <v>18</v>
      </c>
      <c r="J30" s="29">
        <v>2000</v>
      </c>
      <c r="K30" s="12">
        <f t="shared" si="1"/>
        <v>111.11111111111111</v>
      </c>
      <c r="L30" s="477">
        <v>18</v>
      </c>
      <c r="M30" s="13">
        <f t="shared" si="20"/>
        <v>1919.3103448275858</v>
      </c>
      <c r="N30" s="12">
        <f t="shared" si="3"/>
        <v>106.62835249042143</v>
      </c>
      <c r="O30" s="14">
        <f t="shared" si="4"/>
        <v>0</v>
      </c>
      <c r="P30" s="15">
        <f t="shared" si="5"/>
        <v>-4.4827586206896797</v>
      </c>
      <c r="Q30" s="469">
        <f t="shared" si="6"/>
        <v>0.95965517241379283</v>
      </c>
      <c r="R30" s="616"/>
      <c r="S30" s="32">
        <v>0.74236111111111114</v>
      </c>
      <c r="T30" s="32">
        <v>0.80277777777777781</v>
      </c>
      <c r="U30" s="466">
        <f t="shared" si="22"/>
        <v>4.9999999999999822</v>
      </c>
      <c r="V30" s="478">
        <f t="shared" si="21"/>
        <v>87.000000000000014</v>
      </c>
      <c r="W30" s="16"/>
      <c r="X30" s="16"/>
      <c r="Y30" s="466"/>
      <c r="Z30" s="466"/>
      <c r="AA30" s="612"/>
      <c r="AB30" s="612"/>
      <c r="AC30" s="18"/>
      <c r="AD30" s="18"/>
      <c r="AE30" s="14">
        <f t="shared" si="8"/>
        <v>-80.689655172414177</v>
      </c>
      <c r="AF30" s="469">
        <f t="shared" si="9"/>
        <v>0.95965517241379295</v>
      </c>
      <c r="AG30" s="616"/>
    </row>
    <row r="31" spans="1:33" ht="15.75" customHeight="1">
      <c r="A31" s="635" t="s">
        <v>2442</v>
      </c>
      <c r="B31" s="27" t="s">
        <v>5</v>
      </c>
      <c r="C31" s="659" t="s">
        <v>1930</v>
      </c>
      <c r="D31" s="659"/>
      <c r="E31" s="27">
        <v>57.3</v>
      </c>
      <c r="F31" s="479">
        <v>1000</v>
      </c>
      <c r="G31" s="466">
        <f t="shared" si="19"/>
        <v>57300</v>
      </c>
      <c r="H31" s="31">
        <v>2</v>
      </c>
      <c r="I31" s="477">
        <v>16</v>
      </c>
      <c r="J31" s="29">
        <v>2000</v>
      </c>
      <c r="K31" s="12">
        <f t="shared" si="1"/>
        <v>125</v>
      </c>
      <c r="L31" s="477">
        <v>16</v>
      </c>
      <c r="M31" s="13">
        <f t="shared" si="20"/>
        <v>1935.483870967739</v>
      </c>
      <c r="N31" s="12">
        <f t="shared" si="3"/>
        <v>120.96774193548369</v>
      </c>
      <c r="O31" s="14">
        <f t="shared" si="4"/>
        <v>0</v>
      </c>
      <c r="P31" s="15">
        <f t="shared" si="5"/>
        <v>-4.0322580645163129</v>
      </c>
      <c r="Q31" s="469">
        <f t="shared" si="6"/>
        <v>0.96774193548386944</v>
      </c>
      <c r="R31" s="616"/>
      <c r="S31" s="32">
        <v>0.80625000000000002</v>
      </c>
      <c r="T31" s="32">
        <v>0.82777777777777783</v>
      </c>
      <c r="U31" s="466">
        <f t="shared" si="22"/>
        <v>4.9999999999999822</v>
      </c>
      <c r="V31" s="478">
        <f t="shared" si="21"/>
        <v>31.00000000000005</v>
      </c>
      <c r="W31" s="16">
        <f>T31</f>
        <v>0.82777777777777783</v>
      </c>
      <c r="X31" s="16">
        <f>S32</f>
        <v>0.87013888888888891</v>
      </c>
      <c r="Y31" s="20"/>
      <c r="Z31" s="20"/>
      <c r="AA31" s="612"/>
      <c r="AB31" s="612"/>
      <c r="AC31" s="18"/>
      <c r="AD31" s="18"/>
      <c r="AE31" s="14">
        <f t="shared" si="8"/>
        <v>-64.516129032261006</v>
      </c>
      <c r="AF31" s="469">
        <f t="shared" si="9"/>
        <v>0.96774193548386944</v>
      </c>
      <c r="AG31" s="616"/>
    </row>
    <row r="32" spans="1:33" ht="15.75" customHeight="1">
      <c r="A32" s="635" t="s">
        <v>372</v>
      </c>
      <c r="B32" s="27" t="s">
        <v>5</v>
      </c>
      <c r="C32" s="631" t="s">
        <v>1930</v>
      </c>
      <c r="D32" s="632"/>
      <c r="E32" s="27">
        <v>57.3</v>
      </c>
      <c r="F32" s="479">
        <v>1695</v>
      </c>
      <c r="G32" s="466">
        <f t="shared" si="19"/>
        <v>97123.5</v>
      </c>
      <c r="H32" s="31" t="s">
        <v>40</v>
      </c>
      <c r="I32" s="477">
        <v>16</v>
      </c>
      <c r="J32" s="29">
        <v>2000</v>
      </c>
      <c r="K32" s="12">
        <f t="shared" si="1"/>
        <v>125</v>
      </c>
      <c r="L32" s="477">
        <v>16</v>
      </c>
      <c r="M32" s="13">
        <f t="shared" si="20"/>
        <v>1918.8679245283031</v>
      </c>
      <c r="N32" s="12">
        <f t="shared" si="3"/>
        <v>119.92924528301894</v>
      </c>
      <c r="O32" s="14">
        <f t="shared" si="4"/>
        <v>0</v>
      </c>
      <c r="P32" s="15">
        <f t="shared" si="5"/>
        <v>-5.0707547169810567</v>
      </c>
      <c r="Q32" s="469">
        <f t="shared" si="6"/>
        <v>0.95943396226415156</v>
      </c>
      <c r="R32" s="616"/>
      <c r="S32" s="32">
        <v>0.87013888888888891</v>
      </c>
      <c r="T32" s="32">
        <v>0.90694444444444444</v>
      </c>
      <c r="U32" s="466">
        <f t="shared" si="22"/>
        <v>60.999999999999943</v>
      </c>
      <c r="V32" s="478">
        <f t="shared" si="21"/>
        <v>52.999999999999972</v>
      </c>
      <c r="W32" s="16"/>
      <c r="X32" s="20"/>
      <c r="Y32" s="270"/>
      <c r="Z32" s="270"/>
      <c r="AA32" s="607"/>
      <c r="AB32" s="608"/>
      <c r="AC32" s="18"/>
      <c r="AD32" s="18"/>
      <c r="AE32" s="14">
        <f t="shared" si="8"/>
        <v>-81.132075471696908</v>
      </c>
      <c r="AF32" s="469">
        <f t="shared" si="9"/>
        <v>0.95943396226415156</v>
      </c>
      <c r="AG32" s="616"/>
    </row>
    <row r="33" spans="1:33" ht="15.75" customHeight="1">
      <c r="A33" s="635" t="s">
        <v>372</v>
      </c>
      <c r="B33" s="27" t="s">
        <v>2440</v>
      </c>
      <c r="C33" s="658"/>
      <c r="D33" s="658"/>
      <c r="E33" s="470"/>
      <c r="F33" s="479"/>
      <c r="G33" s="466"/>
      <c r="H33" s="479"/>
      <c r="I33" s="21">
        <v>15.714285714285714</v>
      </c>
      <c r="J33" s="29">
        <v>2000</v>
      </c>
      <c r="K33" s="12">
        <f t="shared" si="1"/>
        <v>127.27272727272728</v>
      </c>
      <c r="L33" s="21">
        <v>15.714285714285714</v>
      </c>
      <c r="M33" s="13">
        <f>AVERAGE(M26:M32)</f>
        <v>1919.929031727713</v>
      </c>
      <c r="N33" s="12">
        <f t="shared" si="3"/>
        <v>122.17730201903629</v>
      </c>
      <c r="O33" s="14">
        <f t="shared" si="4"/>
        <v>0</v>
      </c>
      <c r="P33" s="15">
        <f t="shared" si="5"/>
        <v>-5.0954252536909905</v>
      </c>
      <c r="Q33" s="469">
        <f t="shared" si="6"/>
        <v>0.95996451586385656</v>
      </c>
      <c r="R33" s="616"/>
      <c r="S33" s="32"/>
      <c r="T33" s="32"/>
      <c r="U33" s="12"/>
      <c r="V33" s="478"/>
      <c r="W33" s="12"/>
      <c r="X33" s="12"/>
      <c r="Y33" s="22">
        <f>SUM(Y26:Y32)</f>
        <v>0</v>
      </c>
      <c r="Z33" s="22">
        <f>SUM(Z26:Z32)</f>
        <v>0</v>
      </c>
      <c r="AA33" s="611"/>
      <c r="AB33" s="611"/>
      <c r="AC33" s="22">
        <v>7</v>
      </c>
      <c r="AD33" s="22">
        <f>SUM(AD26:AD32)</f>
        <v>0</v>
      </c>
      <c r="AE33" s="14">
        <f t="shared" si="8"/>
        <v>-80.070968272287018</v>
      </c>
      <c r="AF33" s="469">
        <f t="shared" si="9"/>
        <v>0.95996451586385645</v>
      </c>
      <c r="AG33" s="616"/>
    </row>
    <row r="34" spans="1:33" ht="15.75" customHeight="1">
      <c r="A34" s="633" t="s">
        <v>2443</v>
      </c>
      <c r="B34" s="27" t="s">
        <v>20</v>
      </c>
      <c r="C34" s="659" t="s">
        <v>21</v>
      </c>
      <c r="D34" s="659"/>
      <c r="E34" s="27">
        <v>31.29</v>
      </c>
      <c r="F34" s="479">
        <v>5800</v>
      </c>
      <c r="G34" s="466">
        <f t="shared" ref="G34:G41" si="23">E34*F34</f>
        <v>181482</v>
      </c>
      <c r="H34" s="31">
        <v>2</v>
      </c>
      <c r="I34" s="477">
        <v>18</v>
      </c>
      <c r="J34" s="29">
        <v>2400</v>
      </c>
      <c r="K34" s="12">
        <f t="shared" si="1"/>
        <v>133.33333333333334</v>
      </c>
      <c r="L34" s="477">
        <v>18</v>
      </c>
      <c r="M34" s="13">
        <f t="shared" ref="M34:M41" si="24">F34/V34*60</f>
        <v>2289.4736842105262</v>
      </c>
      <c r="N34" s="12">
        <f t="shared" si="3"/>
        <v>127.19298245614034</v>
      </c>
      <c r="O34" s="14">
        <f t="shared" si="4"/>
        <v>0</v>
      </c>
      <c r="P34" s="15">
        <f t="shared" si="5"/>
        <v>-6.1403508771930007</v>
      </c>
      <c r="Q34" s="469">
        <f t="shared" si="6"/>
        <v>0.95394736842105254</v>
      </c>
      <c r="R34" s="616">
        <f>Q42</f>
        <v>0.95653334048007266</v>
      </c>
      <c r="S34" s="32">
        <v>8.3333333333333329E-2</v>
      </c>
      <c r="T34" s="32">
        <v>0.18888888888888888</v>
      </c>
      <c r="U34" s="466"/>
      <c r="V34" s="478">
        <f t="shared" ref="V34:V41" si="25">(T34-S34)*24*60</f>
        <v>152</v>
      </c>
      <c r="W34" s="16">
        <f>T34</f>
        <v>0.18888888888888888</v>
      </c>
      <c r="X34" s="16">
        <f>S35</f>
        <v>0.20694444444444443</v>
      </c>
      <c r="Y34" s="16"/>
      <c r="Z34" s="16"/>
      <c r="AA34" s="612"/>
      <c r="AB34" s="612"/>
      <c r="AC34" s="18">
        <v>8</v>
      </c>
      <c r="AD34" s="18"/>
      <c r="AE34" s="14">
        <f t="shared" si="8"/>
        <v>-110.52631578947376</v>
      </c>
      <c r="AF34" s="469">
        <f t="shared" si="9"/>
        <v>0.95394736842105265</v>
      </c>
      <c r="AG34" s="616">
        <f>AF42</f>
        <v>0.95653334048007277</v>
      </c>
    </row>
    <row r="35" spans="1:33" ht="15.75" customHeight="1">
      <c r="A35" s="633" t="s">
        <v>2443</v>
      </c>
      <c r="B35" s="27" t="s">
        <v>20</v>
      </c>
      <c r="C35" s="659" t="s">
        <v>22</v>
      </c>
      <c r="D35" s="659"/>
      <c r="E35" s="27">
        <v>26.37</v>
      </c>
      <c r="F35" s="479">
        <v>4000</v>
      </c>
      <c r="G35" s="466">
        <f t="shared" si="23"/>
        <v>105480</v>
      </c>
      <c r="H35" s="31">
        <v>2</v>
      </c>
      <c r="I35" s="477">
        <v>18</v>
      </c>
      <c r="J35" s="29">
        <v>2400</v>
      </c>
      <c r="K35" s="12">
        <f t="shared" si="1"/>
        <v>133.33333333333334</v>
      </c>
      <c r="L35" s="477">
        <v>18</v>
      </c>
      <c r="M35" s="13">
        <f t="shared" si="24"/>
        <v>2285.7142857142853</v>
      </c>
      <c r="N35" s="12">
        <f t="shared" si="3"/>
        <v>126.98412698412696</v>
      </c>
      <c r="O35" s="14">
        <f t="shared" si="4"/>
        <v>0</v>
      </c>
      <c r="P35" s="15">
        <f t="shared" si="5"/>
        <v>-6.3492063492063835</v>
      </c>
      <c r="Q35" s="469">
        <f t="shared" si="6"/>
        <v>0.95238095238095211</v>
      </c>
      <c r="R35" s="616"/>
      <c r="S35" s="32">
        <v>0.20694444444444443</v>
      </c>
      <c r="T35" s="32">
        <v>0.27986111111111112</v>
      </c>
      <c r="U35" s="466">
        <f t="shared" ref="U35:U41" si="26">(S35-T34)*24*60</f>
        <v>25.999999999999986</v>
      </c>
      <c r="V35" s="478">
        <f t="shared" si="25"/>
        <v>105.00000000000003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-114.28571428571468</v>
      </c>
      <c r="AF35" s="469">
        <f t="shared" si="9"/>
        <v>0.95238095238095222</v>
      </c>
      <c r="AG35" s="616"/>
    </row>
    <row r="36" spans="1:33" ht="15.75" customHeight="1">
      <c r="A36" s="633" t="s">
        <v>2443</v>
      </c>
      <c r="B36" s="27" t="s">
        <v>20</v>
      </c>
      <c r="C36" s="659" t="s">
        <v>57</v>
      </c>
      <c r="D36" s="659"/>
      <c r="E36" s="27">
        <v>26.18</v>
      </c>
      <c r="F36" s="479">
        <v>5000</v>
      </c>
      <c r="G36" s="466">
        <f t="shared" si="23"/>
        <v>130900</v>
      </c>
      <c r="H36" s="31">
        <v>2</v>
      </c>
      <c r="I36" s="477">
        <v>18</v>
      </c>
      <c r="J36" s="29">
        <v>2400</v>
      </c>
      <c r="K36" s="12">
        <f t="shared" si="1"/>
        <v>133.33333333333334</v>
      </c>
      <c r="L36" s="477">
        <v>18</v>
      </c>
      <c r="M36" s="13">
        <f t="shared" si="24"/>
        <v>2290.0763358778627</v>
      </c>
      <c r="N36" s="12">
        <f t="shared" si="3"/>
        <v>127.2264631043257</v>
      </c>
      <c r="O36" s="14">
        <f t="shared" si="4"/>
        <v>0</v>
      </c>
      <c r="P36" s="15">
        <f t="shared" si="5"/>
        <v>-6.1068702290076402</v>
      </c>
      <c r="Q36" s="469">
        <f t="shared" si="6"/>
        <v>0.95419847328244267</v>
      </c>
      <c r="R36" s="616"/>
      <c r="S36" s="32">
        <v>0.28333333333333333</v>
      </c>
      <c r="T36" s="32">
        <v>0.37430555555555556</v>
      </c>
      <c r="U36" s="466">
        <f t="shared" si="26"/>
        <v>4.9999999999999822</v>
      </c>
      <c r="V36" s="478">
        <f t="shared" si="25"/>
        <v>131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-109.92366412213732</v>
      </c>
      <c r="AF36" s="469">
        <f t="shared" si="9"/>
        <v>0.95419847328244278</v>
      </c>
      <c r="AG36" s="616"/>
    </row>
    <row r="37" spans="1:33" ht="15.75" customHeight="1">
      <c r="A37" s="633" t="s">
        <v>374</v>
      </c>
      <c r="B37" s="27" t="s">
        <v>20</v>
      </c>
      <c r="C37" s="659" t="s">
        <v>59</v>
      </c>
      <c r="D37" s="659"/>
      <c r="E37" s="27">
        <v>25.99</v>
      </c>
      <c r="F37" s="479">
        <v>1474</v>
      </c>
      <c r="G37" s="466">
        <f t="shared" si="23"/>
        <v>38309.259999999995</v>
      </c>
      <c r="H37" s="31" t="s">
        <v>40</v>
      </c>
      <c r="I37" s="477">
        <v>18</v>
      </c>
      <c r="J37" s="29">
        <v>2400</v>
      </c>
      <c r="K37" s="12">
        <f t="shared" si="1"/>
        <v>133.33333333333334</v>
      </c>
      <c r="L37" s="477">
        <v>18</v>
      </c>
      <c r="M37" s="13">
        <f t="shared" si="24"/>
        <v>2327.3684210526299</v>
      </c>
      <c r="N37" s="12">
        <f t="shared" si="3"/>
        <v>129.29824561403498</v>
      </c>
      <c r="O37" s="14">
        <f t="shared" si="4"/>
        <v>0</v>
      </c>
      <c r="P37" s="15">
        <f t="shared" si="5"/>
        <v>-4.0350877192983603</v>
      </c>
      <c r="Q37" s="469">
        <f t="shared" si="6"/>
        <v>0.96973684210526234</v>
      </c>
      <c r="R37" s="616"/>
      <c r="S37" s="32">
        <v>0.37777777777777777</v>
      </c>
      <c r="T37" s="32">
        <v>0.40416666666666667</v>
      </c>
      <c r="U37" s="466">
        <f t="shared" si="26"/>
        <v>4.9999999999999822</v>
      </c>
      <c r="V37" s="478">
        <f t="shared" si="25"/>
        <v>38.000000000000028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-72.631578947370144</v>
      </c>
      <c r="AF37" s="469">
        <f t="shared" si="9"/>
        <v>0.96973684210526245</v>
      </c>
      <c r="AG37" s="616"/>
    </row>
    <row r="38" spans="1:33" ht="15.75" customHeight="1">
      <c r="A38" s="633" t="s">
        <v>2443</v>
      </c>
      <c r="B38" s="27" t="s">
        <v>20</v>
      </c>
      <c r="C38" s="659" t="s">
        <v>23</v>
      </c>
      <c r="D38" s="659"/>
      <c r="E38" s="27">
        <v>25.99</v>
      </c>
      <c r="F38" s="479">
        <v>4165</v>
      </c>
      <c r="G38" s="466">
        <f t="shared" si="23"/>
        <v>108248.34999999999</v>
      </c>
      <c r="H38" s="31" t="s">
        <v>40</v>
      </c>
      <c r="I38" s="477">
        <v>14</v>
      </c>
      <c r="J38" s="29">
        <v>2400</v>
      </c>
      <c r="K38" s="12">
        <f t="shared" si="1"/>
        <v>171.42857142857142</v>
      </c>
      <c r="L38" s="477">
        <v>14</v>
      </c>
      <c r="M38" s="13">
        <f t="shared" si="24"/>
        <v>2292.6605504587151</v>
      </c>
      <c r="N38" s="12">
        <f t="shared" si="3"/>
        <v>163.76146788990823</v>
      </c>
      <c r="O38" s="14">
        <f t="shared" si="4"/>
        <v>0</v>
      </c>
      <c r="P38" s="15">
        <f t="shared" si="5"/>
        <v>-7.6671035386631843</v>
      </c>
      <c r="Q38" s="469">
        <f t="shared" si="6"/>
        <v>0.95527522935779807</v>
      </c>
      <c r="R38" s="616"/>
      <c r="S38" s="32">
        <v>0.40763888888888888</v>
      </c>
      <c r="T38" s="32">
        <v>0.48333333333333334</v>
      </c>
      <c r="U38" s="466">
        <f t="shared" si="26"/>
        <v>4.9999999999999822</v>
      </c>
      <c r="V38" s="478">
        <f t="shared" si="25"/>
        <v>109.00000000000001</v>
      </c>
      <c r="W38" s="16">
        <f>T38</f>
        <v>0.48333333333333334</v>
      </c>
      <c r="X38" s="16">
        <f>S39</f>
        <v>0.52499999999999991</v>
      </c>
      <c r="Y38" s="16"/>
      <c r="Z38" s="16"/>
      <c r="AA38" s="612"/>
      <c r="AB38" s="612"/>
      <c r="AC38" s="18"/>
      <c r="AD38" s="18"/>
      <c r="AE38" s="14">
        <f t="shared" si="8"/>
        <v>-107.33944954128492</v>
      </c>
      <c r="AF38" s="469">
        <f t="shared" si="9"/>
        <v>0.95527522935779796</v>
      </c>
      <c r="AG38" s="616"/>
    </row>
    <row r="39" spans="1:33" ht="15.75" customHeight="1">
      <c r="A39" s="633" t="s">
        <v>374</v>
      </c>
      <c r="B39" s="27" t="s">
        <v>20</v>
      </c>
      <c r="C39" s="659" t="s">
        <v>21</v>
      </c>
      <c r="D39" s="659"/>
      <c r="E39" s="27">
        <v>31.29</v>
      </c>
      <c r="F39" s="479">
        <v>4141</v>
      </c>
      <c r="G39" s="466">
        <f t="shared" si="23"/>
        <v>129571.89</v>
      </c>
      <c r="H39" s="31" t="s">
        <v>40</v>
      </c>
      <c r="I39" s="477">
        <v>18</v>
      </c>
      <c r="J39" s="29">
        <v>2400</v>
      </c>
      <c r="K39" s="12">
        <f t="shared" si="1"/>
        <v>133.33333333333334</v>
      </c>
      <c r="L39" s="477">
        <v>18</v>
      </c>
      <c r="M39" s="13">
        <f t="shared" si="24"/>
        <v>2300.5555555555566</v>
      </c>
      <c r="N39" s="12">
        <f t="shared" si="3"/>
        <v>127.8086419753087</v>
      </c>
      <c r="O39" s="14">
        <f t="shared" si="4"/>
        <v>0</v>
      </c>
      <c r="P39" s="15">
        <f t="shared" si="5"/>
        <v>-5.52469135802464</v>
      </c>
      <c r="Q39" s="469">
        <f t="shared" si="6"/>
        <v>0.95856481481481526</v>
      </c>
      <c r="R39" s="616"/>
      <c r="S39" s="32">
        <v>0.52499999999999991</v>
      </c>
      <c r="T39" s="32">
        <v>0.59999999999999987</v>
      </c>
      <c r="U39" s="466">
        <f t="shared" si="26"/>
        <v>59.999999999999865</v>
      </c>
      <c r="V39" s="478">
        <f t="shared" si="25"/>
        <v>107.99999999999994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-99.444444444443434</v>
      </c>
      <c r="AF39" s="469">
        <f t="shared" si="9"/>
        <v>0.95856481481481526</v>
      </c>
      <c r="AG39" s="616"/>
    </row>
    <row r="40" spans="1:33" ht="15.75" customHeight="1">
      <c r="A40" s="633" t="s">
        <v>374</v>
      </c>
      <c r="B40" s="27" t="s">
        <v>20</v>
      </c>
      <c r="C40" s="659" t="s">
        <v>22</v>
      </c>
      <c r="D40" s="659"/>
      <c r="E40" s="27">
        <v>26.37</v>
      </c>
      <c r="F40" s="479">
        <v>2859</v>
      </c>
      <c r="G40" s="466">
        <f t="shared" si="23"/>
        <v>75391.83</v>
      </c>
      <c r="H40" s="31" t="s">
        <v>40</v>
      </c>
      <c r="I40" s="477">
        <v>18</v>
      </c>
      <c r="J40" s="29">
        <v>2400</v>
      </c>
      <c r="K40" s="12">
        <f t="shared" si="1"/>
        <v>133.33333333333334</v>
      </c>
      <c r="L40" s="477">
        <v>18</v>
      </c>
      <c r="M40" s="13">
        <f t="shared" si="24"/>
        <v>2287.199999999998</v>
      </c>
      <c r="N40" s="12">
        <f t="shared" si="3"/>
        <v>127.06666666666655</v>
      </c>
      <c r="O40" s="14">
        <f t="shared" si="4"/>
        <v>0</v>
      </c>
      <c r="P40" s="15">
        <f t="shared" si="5"/>
        <v>-6.2666666666667936</v>
      </c>
      <c r="Q40" s="469">
        <f t="shared" si="6"/>
        <v>0.95299999999999907</v>
      </c>
      <c r="R40" s="616"/>
      <c r="S40" s="32">
        <v>0.60486111111111096</v>
      </c>
      <c r="T40" s="32">
        <v>0.65694444444444433</v>
      </c>
      <c r="U40" s="466">
        <f t="shared" si="26"/>
        <v>6.9999999999999751</v>
      </c>
      <c r="V40" s="478">
        <f t="shared" si="25"/>
        <v>75.000000000000057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-112.800000000002</v>
      </c>
      <c r="AF40" s="469">
        <f t="shared" si="9"/>
        <v>0.95299999999999918</v>
      </c>
      <c r="AG40" s="616"/>
    </row>
    <row r="41" spans="1:33" ht="15.75" customHeight="1">
      <c r="A41" s="633" t="s">
        <v>2443</v>
      </c>
      <c r="B41" s="27" t="s">
        <v>20</v>
      </c>
      <c r="C41" s="475" t="s">
        <v>57</v>
      </c>
      <c r="D41" s="476"/>
      <c r="E41" s="27">
        <v>26.18</v>
      </c>
      <c r="F41" s="479">
        <v>3515</v>
      </c>
      <c r="G41" s="466">
        <f t="shared" si="23"/>
        <v>92022.7</v>
      </c>
      <c r="H41" s="31" t="s">
        <v>40</v>
      </c>
      <c r="I41" s="477">
        <v>18</v>
      </c>
      <c r="J41" s="29">
        <v>2400</v>
      </c>
      <c r="K41" s="12">
        <f t="shared" si="1"/>
        <v>133.33333333333334</v>
      </c>
      <c r="L41" s="477">
        <v>18</v>
      </c>
      <c r="M41" s="13">
        <f t="shared" si="24"/>
        <v>2292.391304347826</v>
      </c>
      <c r="N41" s="12">
        <f t="shared" si="3"/>
        <v>127.35507246376811</v>
      </c>
      <c r="O41" s="14">
        <f t="shared" si="4"/>
        <v>0</v>
      </c>
      <c r="P41" s="15">
        <f t="shared" si="5"/>
        <v>-5.9782608695652328</v>
      </c>
      <c r="Q41" s="469">
        <f t="shared" si="6"/>
        <v>0.95516304347826075</v>
      </c>
      <c r="R41" s="616"/>
      <c r="S41" s="32">
        <v>0.66111111111111098</v>
      </c>
      <c r="T41" s="32">
        <v>0.72499999999999987</v>
      </c>
      <c r="U41" s="466">
        <f t="shared" si="26"/>
        <v>5.9999999999999787</v>
      </c>
      <c r="V41" s="478">
        <f t="shared" si="25"/>
        <v>92</v>
      </c>
      <c r="W41" s="16"/>
      <c r="X41" s="16"/>
      <c r="Y41" s="16"/>
      <c r="Z41" s="16"/>
      <c r="AA41" s="473"/>
      <c r="AB41" s="474"/>
      <c r="AC41" s="18"/>
      <c r="AD41" s="18"/>
      <c r="AE41" s="14">
        <f t="shared" si="8"/>
        <v>-107.60869565217399</v>
      </c>
      <c r="AF41" s="469">
        <f t="shared" si="9"/>
        <v>0.95516304347826086</v>
      </c>
      <c r="AG41" s="616"/>
    </row>
    <row r="42" spans="1:33" ht="15.75" customHeight="1">
      <c r="A42" s="633" t="s">
        <v>2443</v>
      </c>
      <c r="B42" s="27" t="s">
        <v>2440</v>
      </c>
      <c r="C42" s="658"/>
      <c r="D42" s="658"/>
      <c r="E42" s="470"/>
      <c r="F42" s="479"/>
      <c r="G42" s="466"/>
      <c r="H42" s="479"/>
      <c r="I42" s="21">
        <v>17.5</v>
      </c>
      <c r="J42" s="29">
        <v>2400</v>
      </c>
      <c r="K42" s="12">
        <f t="shared" si="1"/>
        <v>137.14285714285714</v>
      </c>
      <c r="L42" s="21">
        <v>17.5</v>
      </c>
      <c r="M42" s="13">
        <f>AVERAGE(M34:M41)</f>
        <v>2295.6800171521745</v>
      </c>
      <c r="N42" s="12">
        <f t="shared" si="3"/>
        <v>131.18171526583853</v>
      </c>
      <c r="O42" s="14">
        <f t="shared" si="4"/>
        <v>0</v>
      </c>
      <c r="P42" s="15">
        <f t="shared" si="5"/>
        <v>-5.9611418770186049</v>
      </c>
      <c r="Q42" s="469">
        <f t="shared" si="6"/>
        <v>0.95653334048007266</v>
      </c>
      <c r="R42" s="616"/>
      <c r="S42" s="32"/>
      <c r="T42" s="32"/>
      <c r="U42" s="466"/>
      <c r="V42" s="478"/>
      <c r="W42" s="466"/>
      <c r="X42" s="466"/>
      <c r="Y42" s="22">
        <f>SUM(Y34:Y41)</f>
        <v>0</v>
      </c>
      <c r="Z42" s="22">
        <f>SUM(Z34:Z41)</f>
        <v>0</v>
      </c>
      <c r="AA42" s="611"/>
      <c r="AB42" s="611"/>
      <c r="AC42" s="22">
        <v>8</v>
      </c>
      <c r="AD42" s="22">
        <f>SUM(AD34:AD41)</f>
        <v>0</v>
      </c>
      <c r="AE42" s="14">
        <f t="shared" si="8"/>
        <v>-104.31998284782549</v>
      </c>
      <c r="AF42" s="469">
        <f t="shared" si="9"/>
        <v>0.95653334048007277</v>
      </c>
      <c r="AG42" s="616"/>
    </row>
    <row r="43" spans="1:33" ht="15.75" customHeight="1">
      <c r="A43" s="629" t="s">
        <v>2444</v>
      </c>
      <c r="B43" s="27" t="s">
        <v>20</v>
      </c>
      <c r="C43" s="660" t="s">
        <v>58</v>
      </c>
      <c r="D43" s="660"/>
      <c r="E43" s="27">
        <v>26.18</v>
      </c>
      <c r="F43" s="479">
        <v>3800</v>
      </c>
      <c r="G43" s="466">
        <f t="shared" ref="G43:G50" si="27">E43*F43</f>
        <v>99484</v>
      </c>
      <c r="H43" s="31">
        <v>2</v>
      </c>
      <c r="I43" s="477">
        <v>20</v>
      </c>
      <c r="J43" s="29">
        <v>2400</v>
      </c>
      <c r="K43" s="12">
        <f t="shared" si="1"/>
        <v>120</v>
      </c>
      <c r="L43" s="477">
        <v>20</v>
      </c>
      <c r="M43" s="13">
        <f t="shared" ref="M43:M50" si="28">F43/V43*60</f>
        <v>2303.030303030303</v>
      </c>
      <c r="N43" s="12">
        <f t="shared" si="3"/>
        <v>115.15151515151516</v>
      </c>
      <c r="O43" s="14">
        <f t="shared" si="4"/>
        <v>0</v>
      </c>
      <c r="P43" s="15">
        <f t="shared" si="5"/>
        <v>-4.8484848484848442</v>
      </c>
      <c r="Q43" s="469">
        <f t="shared" si="6"/>
        <v>0.95959595959595967</v>
      </c>
      <c r="R43" s="616">
        <f>Q51</f>
        <v>0.95512785217446949</v>
      </c>
      <c r="S43" s="32">
        <v>8.3333333333333329E-2</v>
      </c>
      <c r="T43" s="32">
        <v>0.15208333333333332</v>
      </c>
      <c r="U43" s="466"/>
      <c r="V43" s="478">
        <f t="shared" ref="V43:V50" si="29">(T43-S43)*24*60</f>
        <v>99</v>
      </c>
      <c r="W43" s="20">
        <f>T43</f>
        <v>0.15208333333333332</v>
      </c>
      <c r="X43" s="20">
        <f>S44</f>
        <v>0.17291666666666666</v>
      </c>
      <c r="Y43" s="20"/>
      <c r="Z43" s="20"/>
      <c r="AA43" s="612"/>
      <c r="AB43" s="612"/>
      <c r="AC43" s="18">
        <v>8</v>
      </c>
      <c r="AD43" s="18"/>
      <c r="AE43" s="14">
        <f t="shared" si="8"/>
        <v>-96.969696969696997</v>
      </c>
      <c r="AF43" s="469">
        <f t="shared" si="9"/>
        <v>0.95959595959595956</v>
      </c>
      <c r="AG43" s="616">
        <f>AF51</f>
        <v>0.95512785217446949</v>
      </c>
    </row>
    <row r="44" spans="1:33" ht="15.75" customHeight="1">
      <c r="A44" s="629" t="s">
        <v>2444</v>
      </c>
      <c r="B44" s="27" t="s">
        <v>20</v>
      </c>
      <c r="C44" s="660" t="s">
        <v>25</v>
      </c>
      <c r="D44" s="660"/>
      <c r="E44" s="27">
        <v>24.43</v>
      </c>
      <c r="F44" s="479">
        <v>4300</v>
      </c>
      <c r="G44" s="466">
        <f t="shared" si="27"/>
        <v>105049</v>
      </c>
      <c r="H44" s="31">
        <v>2</v>
      </c>
      <c r="I44" s="477">
        <v>14</v>
      </c>
      <c r="J44" s="29">
        <v>2400</v>
      </c>
      <c r="K44" s="12">
        <f t="shared" si="1"/>
        <v>171.42857142857142</v>
      </c>
      <c r="L44" s="477">
        <v>14</v>
      </c>
      <c r="M44" s="13">
        <f t="shared" si="28"/>
        <v>2283.1858407079644</v>
      </c>
      <c r="N44" s="12">
        <f t="shared" si="3"/>
        <v>163.08470290771174</v>
      </c>
      <c r="O44" s="14">
        <f t="shared" si="4"/>
        <v>0</v>
      </c>
      <c r="P44" s="15">
        <f t="shared" si="5"/>
        <v>-8.3438685208596723</v>
      </c>
      <c r="Q44" s="469">
        <f t="shared" si="6"/>
        <v>0.95132743362831862</v>
      </c>
      <c r="R44" s="616"/>
      <c r="S44" s="32">
        <v>0.17291666666666666</v>
      </c>
      <c r="T44" s="32">
        <v>0.25138888888888888</v>
      </c>
      <c r="U44" s="466">
        <f t="shared" ref="U44:U50" si="30">(S44-T43)*24*60</f>
        <v>30.000000000000014</v>
      </c>
      <c r="V44" s="478">
        <f t="shared" si="29"/>
        <v>113</v>
      </c>
      <c r="W44" s="466"/>
      <c r="X44" s="466"/>
      <c r="Y44" s="466"/>
      <c r="Z44" s="466"/>
      <c r="AA44" s="612"/>
      <c r="AB44" s="612"/>
      <c r="AC44" s="18"/>
      <c r="AD44" s="18"/>
      <c r="AE44" s="14">
        <f t="shared" si="8"/>
        <v>-116.81415929203558</v>
      </c>
      <c r="AF44" s="469">
        <f t="shared" si="9"/>
        <v>0.95132743362831851</v>
      </c>
      <c r="AG44" s="616"/>
    </row>
    <row r="45" spans="1:33">
      <c r="A45" s="630" t="s">
        <v>2444</v>
      </c>
      <c r="B45" s="27" t="s">
        <v>20</v>
      </c>
      <c r="C45" s="660" t="s">
        <v>83</v>
      </c>
      <c r="D45" s="660"/>
      <c r="E45" s="27">
        <v>25.98</v>
      </c>
      <c r="F45" s="479">
        <v>3913</v>
      </c>
      <c r="G45" s="466">
        <f t="shared" si="27"/>
        <v>101659.74</v>
      </c>
      <c r="H45" s="31" t="s">
        <v>40</v>
      </c>
      <c r="I45" s="477">
        <v>20</v>
      </c>
      <c r="J45" s="29">
        <v>2400</v>
      </c>
      <c r="K45" s="12">
        <f t="shared" si="1"/>
        <v>120</v>
      </c>
      <c r="L45" s="477">
        <v>20</v>
      </c>
      <c r="M45" s="13">
        <f t="shared" si="28"/>
        <v>2301.7647058823541</v>
      </c>
      <c r="N45" s="12">
        <f t="shared" si="3"/>
        <v>115.08823529411771</v>
      </c>
      <c r="O45" s="14">
        <f t="shared" si="4"/>
        <v>0</v>
      </c>
      <c r="P45" s="15">
        <f t="shared" si="5"/>
        <v>-4.9117647058822911</v>
      </c>
      <c r="Q45" s="469">
        <f t="shared" si="6"/>
        <v>0.95906862745098087</v>
      </c>
      <c r="R45" s="616"/>
      <c r="S45" s="32">
        <v>0.25555555555555554</v>
      </c>
      <c r="T45" s="32">
        <v>0.32638888888888884</v>
      </c>
      <c r="U45" s="466">
        <f t="shared" si="30"/>
        <v>5.9999999999999787</v>
      </c>
      <c r="V45" s="478">
        <f t="shared" si="29"/>
        <v>101.99999999999996</v>
      </c>
      <c r="W45" s="466"/>
      <c r="X45" s="466"/>
      <c r="Y45" s="466"/>
      <c r="Z45" s="466"/>
      <c r="AA45" s="612"/>
      <c r="AB45" s="612"/>
      <c r="AC45" s="18"/>
      <c r="AD45" s="18"/>
      <c r="AE45" s="14">
        <f t="shared" si="8"/>
        <v>-98.235294117645935</v>
      </c>
      <c r="AF45" s="469">
        <f t="shared" si="9"/>
        <v>0.95906862745098087</v>
      </c>
      <c r="AG45" s="616"/>
    </row>
    <row r="46" spans="1:33">
      <c r="A46" s="630" t="s">
        <v>2444</v>
      </c>
      <c r="B46" s="27" t="s">
        <v>20</v>
      </c>
      <c r="C46" s="660" t="s">
        <v>26</v>
      </c>
      <c r="D46" s="660"/>
      <c r="E46" s="27">
        <v>34.1</v>
      </c>
      <c r="F46" s="479">
        <v>3800</v>
      </c>
      <c r="G46" s="466">
        <f t="shared" si="27"/>
        <v>129580</v>
      </c>
      <c r="H46" s="31">
        <v>2</v>
      </c>
      <c r="I46" s="477">
        <v>17</v>
      </c>
      <c r="J46" s="29">
        <v>1600</v>
      </c>
      <c r="K46" s="12">
        <f t="shared" si="1"/>
        <v>94.117647058823536</v>
      </c>
      <c r="L46" s="477">
        <v>17</v>
      </c>
      <c r="M46" s="13">
        <f t="shared" si="28"/>
        <v>1530.2013422818789</v>
      </c>
      <c r="N46" s="12">
        <f t="shared" si="3"/>
        <v>90.011843663639937</v>
      </c>
      <c r="O46" s="14">
        <f t="shared" si="4"/>
        <v>0</v>
      </c>
      <c r="P46" s="15">
        <f t="shared" si="5"/>
        <v>-4.1058033951835995</v>
      </c>
      <c r="Q46" s="469">
        <f t="shared" si="6"/>
        <v>0.95637583892617428</v>
      </c>
      <c r="R46" s="616"/>
      <c r="S46" s="32">
        <v>0.33194444444444438</v>
      </c>
      <c r="T46" s="32">
        <v>0.43541666666666662</v>
      </c>
      <c r="U46" s="466">
        <f t="shared" si="30"/>
        <v>7.9999999999999716</v>
      </c>
      <c r="V46" s="478">
        <f t="shared" si="29"/>
        <v>149.00000000000003</v>
      </c>
      <c r="W46" s="16"/>
      <c r="X46" s="16"/>
      <c r="Y46" s="16"/>
      <c r="Z46" s="16"/>
      <c r="AA46" s="612"/>
      <c r="AB46" s="612"/>
      <c r="AC46" s="18"/>
      <c r="AD46" s="18"/>
      <c r="AE46" s="14">
        <f t="shared" si="8"/>
        <v>-69.798657718121149</v>
      </c>
      <c r="AF46" s="469">
        <f t="shared" si="9"/>
        <v>0.95637583892617428</v>
      </c>
      <c r="AG46" s="616"/>
    </row>
    <row r="47" spans="1:33">
      <c r="A47" s="630" t="s">
        <v>2444</v>
      </c>
      <c r="B47" s="27" t="s">
        <v>20</v>
      </c>
      <c r="C47" s="660" t="s">
        <v>64</v>
      </c>
      <c r="D47" s="660"/>
      <c r="E47" s="27">
        <v>20.21</v>
      </c>
      <c r="F47" s="479">
        <v>2750</v>
      </c>
      <c r="G47" s="466">
        <f t="shared" si="27"/>
        <v>55577.5</v>
      </c>
      <c r="H47" s="31" t="s">
        <v>40</v>
      </c>
      <c r="I47" s="477">
        <v>18</v>
      </c>
      <c r="J47" s="29">
        <v>2400</v>
      </c>
      <c r="K47" s="12">
        <f t="shared" si="1"/>
        <v>133.33333333333334</v>
      </c>
      <c r="L47" s="477">
        <v>18</v>
      </c>
      <c r="M47" s="13">
        <f t="shared" si="28"/>
        <v>2291.666666666667</v>
      </c>
      <c r="N47" s="12">
        <f t="shared" si="3"/>
        <v>127.31481481481484</v>
      </c>
      <c r="O47" s="14">
        <f t="shared" si="4"/>
        <v>0</v>
      </c>
      <c r="P47" s="15">
        <f t="shared" si="5"/>
        <v>-6.0185185185185048</v>
      </c>
      <c r="Q47" s="469">
        <f t="shared" si="6"/>
        <v>0.95486111111111127</v>
      </c>
      <c r="R47" s="616"/>
      <c r="S47" s="32">
        <v>0.43888888888888883</v>
      </c>
      <c r="T47" s="32">
        <v>0.48888888888888882</v>
      </c>
      <c r="U47" s="466">
        <f t="shared" si="30"/>
        <v>4.9999999999999822</v>
      </c>
      <c r="V47" s="478">
        <f t="shared" si="29"/>
        <v>71.999999999999986</v>
      </c>
      <c r="W47" s="16">
        <f>T47</f>
        <v>0.48888888888888882</v>
      </c>
      <c r="X47" s="16">
        <f>S48</f>
        <v>0.52986111111111101</v>
      </c>
      <c r="Y47" s="16"/>
      <c r="Z47" s="16"/>
      <c r="AA47" s="612"/>
      <c r="AB47" s="612"/>
      <c r="AC47" s="18"/>
      <c r="AD47" s="18"/>
      <c r="AE47" s="14">
        <f t="shared" si="8"/>
        <v>-108.33333333333303</v>
      </c>
      <c r="AF47" s="469">
        <f t="shared" si="9"/>
        <v>0.95486111111111127</v>
      </c>
      <c r="AG47" s="616"/>
    </row>
    <row r="48" spans="1:33">
      <c r="A48" s="630" t="s">
        <v>2444</v>
      </c>
      <c r="B48" s="27" t="s">
        <v>20</v>
      </c>
      <c r="C48" s="660" t="s">
        <v>58</v>
      </c>
      <c r="D48" s="660"/>
      <c r="E48" s="27">
        <v>26.18</v>
      </c>
      <c r="F48" s="479">
        <v>2708</v>
      </c>
      <c r="G48" s="466">
        <f t="shared" si="27"/>
        <v>70895.44</v>
      </c>
      <c r="H48" s="31" t="s">
        <v>40</v>
      </c>
      <c r="I48" s="477">
        <v>20</v>
      </c>
      <c r="J48" s="29">
        <v>2400</v>
      </c>
      <c r="K48" s="12">
        <f t="shared" si="1"/>
        <v>120</v>
      </c>
      <c r="L48" s="477">
        <v>20</v>
      </c>
      <c r="M48" s="13">
        <f t="shared" si="28"/>
        <v>2288.4507042253499</v>
      </c>
      <c r="N48" s="12">
        <f t="shared" si="3"/>
        <v>114.4225352112675</v>
      </c>
      <c r="O48" s="14">
        <f t="shared" si="4"/>
        <v>0</v>
      </c>
      <c r="P48" s="15">
        <f t="shared" si="5"/>
        <v>-5.5774647887324988</v>
      </c>
      <c r="Q48" s="469">
        <f t="shared" si="6"/>
        <v>0.95352112676056255</v>
      </c>
      <c r="R48" s="616"/>
      <c r="S48" s="32">
        <v>0.52986111111111101</v>
      </c>
      <c r="T48" s="32">
        <v>0.57916666666666661</v>
      </c>
      <c r="U48" s="466">
        <f t="shared" si="30"/>
        <v>58.99999999999995</v>
      </c>
      <c r="V48" s="478">
        <f t="shared" si="29"/>
        <v>71.000000000000071</v>
      </c>
      <c r="W48" s="16"/>
      <c r="X48" s="16"/>
      <c r="Y48" s="16"/>
      <c r="Z48" s="16"/>
      <c r="AA48" s="612"/>
      <c r="AB48" s="612"/>
      <c r="AC48" s="18"/>
      <c r="AD48" s="18"/>
      <c r="AE48" s="14">
        <f t="shared" si="8"/>
        <v>-111.54929577465009</v>
      </c>
      <c r="AF48" s="469">
        <f t="shared" si="9"/>
        <v>0.95352112676056244</v>
      </c>
      <c r="AG48" s="616"/>
    </row>
    <row r="49" spans="1:33">
      <c r="A49" s="630" t="s">
        <v>181</v>
      </c>
      <c r="B49" s="27" t="s">
        <v>20</v>
      </c>
      <c r="C49" s="660" t="s">
        <v>25</v>
      </c>
      <c r="D49" s="660"/>
      <c r="E49" s="27">
        <v>24.43</v>
      </c>
      <c r="F49" s="479">
        <v>3390</v>
      </c>
      <c r="G49" s="466">
        <f t="shared" si="27"/>
        <v>82817.7</v>
      </c>
      <c r="H49" s="31" t="s">
        <v>40</v>
      </c>
      <c r="I49" s="477">
        <v>14</v>
      </c>
      <c r="J49" s="29">
        <v>2400</v>
      </c>
      <c r="K49" s="12">
        <f t="shared" si="1"/>
        <v>171.42857142857142</v>
      </c>
      <c r="L49" s="477">
        <v>14</v>
      </c>
      <c r="M49" s="13">
        <f t="shared" si="28"/>
        <v>2285.3932584269664</v>
      </c>
      <c r="N49" s="12">
        <f t="shared" si="3"/>
        <v>163.24237560192617</v>
      </c>
      <c r="O49" s="14">
        <f t="shared" si="4"/>
        <v>0</v>
      </c>
      <c r="P49" s="15">
        <f t="shared" si="5"/>
        <v>-8.1861958266452461</v>
      </c>
      <c r="Q49" s="469">
        <f t="shared" si="6"/>
        <v>0.95224719101123612</v>
      </c>
      <c r="R49" s="616"/>
      <c r="S49" s="32">
        <v>0.58472222222222214</v>
      </c>
      <c r="T49" s="32">
        <v>0.6465277777777777</v>
      </c>
      <c r="U49" s="466">
        <f t="shared" si="30"/>
        <v>7.9999999999999716</v>
      </c>
      <c r="V49" s="478">
        <f t="shared" si="29"/>
        <v>89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-114.60674157303356</v>
      </c>
      <c r="AF49" s="469">
        <f t="shared" si="9"/>
        <v>0.952247191011236</v>
      </c>
      <c r="AG49" s="616"/>
    </row>
    <row r="50" spans="1:33">
      <c r="A50" s="630" t="s">
        <v>2444</v>
      </c>
      <c r="B50" s="27" t="s">
        <v>20</v>
      </c>
      <c r="C50" s="660" t="s">
        <v>26</v>
      </c>
      <c r="D50" s="660"/>
      <c r="E50" s="27">
        <v>34.1</v>
      </c>
      <c r="F50" s="479">
        <v>3104</v>
      </c>
      <c r="G50" s="466">
        <f t="shared" si="27"/>
        <v>105846.40000000001</v>
      </c>
      <c r="H50" s="31" t="s">
        <v>40</v>
      </c>
      <c r="I50" s="477">
        <v>17</v>
      </c>
      <c r="J50" s="29">
        <v>1600</v>
      </c>
      <c r="K50" s="12">
        <f t="shared" si="1"/>
        <v>94.117647058823536</v>
      </c>
      <c r="L50" s="477">
        <v>17</v>
      </c>
      <c r="M50" s="13">
        <f t="shared" si="28"/>
        <v>1526.5573770491799</v>
      </c>
      <c r="N50" s="12">
        <f t="shared" si="3"/>
        <v>89.797492767598811</v>
      </c>
      <c r="O50" s="14">
        <f t="shared" si="4"/>
        <v>0</v>
      </c>
      <c r="P50" s="15">
        <f t="shared" si="5"/>
        <v>-4.3201542912247248</v>
      </c>
      <c r="Q50" s="469">
        <f t="shared" si="6"/>
        <v>0.95409836065573728</v>
      </c>
      <c r="R50" s="616"/>
      <c r="S50" s="32">
        <v>0.65208333333333324</v>
      </c>
      <c r="T50" s="32">
        <v>0.73680555555555549</v>
      </c>
      <c r="U50" s="466">
        <f t="shared" si="30"/>
        <v>7.9999999999999716</v>
      </c>
      <c r="V50" s="478">
        <f t="shared" si="29"/>
        <v>122.00000000000004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-73.442622950820123</v>
      </c>
      <c r="AF50" s="469">
        <f t="shared" si="9"/>
        <v>0.95409836065573739</v>
      </c>
      <c r="AG50" s="616"/>
    </row>
    <row r="51" spans="1:33">
      <c r="A51" s="630" t="s">
        <v>2444</v>
      </c>
      <c r="B51" s="28" t="s">
        <v>174</v>
      </c>
      <c r="C51" s="658"/>
      <c r="D51" s="658"/>
      <c r="E51" s="470"/>
      <c r="F51" s="28"/>
      <c r="G51" s="12"/>
      <c r="H51" s="479"/>
      <c r="I51" s="21">
        <v>17.5</v>
      </c>
      <c r="J51" s="29">
        <v>2200</v>
      </c>
      <c r="K51" s="12">
        <f t="shared" si="1"/>
        <v>125.71428571428571</v>
      </c>
      <c r="L51" s="21">
        <v>17.5</v>
      </c>
      <c r="M51" s="13">
        <f>AVERAGE(M43:M50)</f>
        <v>2101.2812747838329</v>
      </c>
      <c r="N51" s="12">
        <f t="shared" si="3"/>
        <v>120.07321570193331</v>
      </c>
      <c r="O51" s="14">
        <f t="shared" si="4"/>
        <v>0</v>
      </c>
      <c r="P51" s="15">
        <f t="shared" si="5"/>
        <v>-5.6410700123524009</v>
      </c>
      <c r="Q51" s="469">
        <f t="shared" si="6"/>
        <v>0.95512785217446949</v>
      </c>
      <c r="R51" s="616"/>
      <c r="S51" s="32"/>
      <c r="T51" s="32"/>
      <c r="U51" s="12"/>
      <c r="V51" s="478"/>
      <c r="W51" s="12"/>
      <c r="X51" s="12"/>
      <c r="Y51" s="22">
        <f>SUM(Y43:Y50)</f>
        <v>0</v>
      </c>
      <c r="Z51" s="22">
        <f>SUM(Z43:Z50)</f>
        <v>0</v>
      </c>
      <c r="AA51" s="611"/>
      <c r="AB51" s="611"/>
      <c r="AC51" s="22">
        <v>8</v>
      </c>
      <c r="AD51" s="22">
        <f>SUM(AD43:AD50)</f>
        <v>0</v>
      </c>
      <c r="AE51" s="14">
        <f t="shared" si="8"/>
        <v>-98.718725216167059</v>
      </c>
      <c r="AF51" s="469">
        <f t="shared" si="9"/>
        <v>0.95512785217446949</v>
      </c>
      <c r="AG51" s="616"/>
    </row>
    <row r="52" spans="1:33" ht="15.75" customHeight="1">
      <c r="A52" s="623" t="s">
        <v>2445</v>
      </c>
      <c r="B52" s="27" t="s">
        <v>27</v>
      </c>
      <c r="C52" s="605" t="s">
        <v>33</v>
      </c>
      <c r="D52" s="606"/>
      <c r="E52" s="27">
        <v>34.36</v>
      </c>
      <c r="F52" s="479">
        <v>2709</v>
      </c>
      <c r="G52" s="466">
        <f t="shared" ref="G52:G55" si="31">E52*F52</f>
        <v>93081.24</v>
      </c>
      <c r="H52" s="31" t="s">
        <v>40</v>
      </c>
      <c r="I52" s="477">
        <v>10</v>
      </c>
      <c r="J52" s="29">
        <v>3000</v>
      </c>
      <c r="K52" s="12">
        <f t="shared" si="1"/>
        <v>300</v>
      </c>
      <c r="L52" s="477">
        <v>10</v>
      </c>
      <c r="M52" s="13">
        <f t="shared" ref="M52:M55" si="32">F52/V52*60</f>
        <v>2902.5</v>
      </c>
      <c r="N52" s="13">
        <f t="shared" si="3"/>
        <v>290.25</v>
      </c>
      <c r="O52" s="14">
        <f t="shared" si="4"/>
        <v>0</v>
      </c>
      <c r="P52" s="15">
        <f t="shared" si="5"/>
        <v>-9.75</v>
      </c>
      <c r="Q52" s="469">
        <f t="shared" si="6"/>
        <v>0.96750000000000003</v>
      </c>
      <c r="R52" s="626">
        <f>Q56</f>
        <v>0.96137213740458016</v>
      </c>
      <c r="S52" s="32">
        <v>0.20833333333333334</v>
      </c>
      <c r="T52" s="32">
        <v>0.24722222222222223</v>
      </c>
      <c r="U52" s="20"/>
      <c r="V52" s="478">
        <f t="shared" ref="V52:V55" si="33">(T52-S52)*24*60</f>
        <v>56</v>
      </c>
      <c r="W52" s="16"/>
      <c r="X52" s="16"/>
      <c r="Y52" s="19"/>
      <c r="Z52" s="19"/>
      <c r="AA52" s="607"/>
      <c r="AB52" s="608"/>
      <c r="AC52" s="18">
        <v>4</v>
      </c>
      <c r="AD52" s="18"/>
      <c r="AE52" s="14">
        <f t="shared" si="8"/>
        <v>-97.5</v>
      </c>
      <c r="AF52" s="469">
        <f t="shared" si="9"/>
        <v>0.96750000000000003</v>
      </c>
      <c r="AG52" s="626">
        <f>AF56</f>
        <v>0.96137213740458005</v>
      </c>
    </row>
    <row r="53" spans="1:33" ht="15.75" customHeight="1">
      <c r="A53" s="624" t="s">
        <v>2445</v>
      </c>
      <c r="B53" s="27" t="s">
        <v>27</v>
      </c>
      <c r="C53" s="605" t="s">
        <v>29</v>
      </c>
      <c r="D53" s="606"/>
      <c r="E53" s="27">
        <v>21.13</v>
      </c>
      <c r="F53" s="479">
        <v>6265</v>
      </c>
      <c r="G53" s="466">
        <f t="shared" si="31"/>
        <v>132379.44999999998</v>
      </c>
      <c r="H53" s="31" t="s">
        <v>40</v>
      </c>
      <c r="I53" s="477">
        <v>10</v>
      </c>
      <c r="J53" s="29">
        <v>3000</v>
      </c>
      <c r="K53" s="12">
        <f t="shared" si="1"/>
        <v>300</v>
      </c>
      <c r="L53" s="477">
        <v>10</v>
      </c>
      <c r="M53" s="13">
        <f t="shared" si="32"/>
        <v>2869.4656488549617</v>
      </c>
      <c r="N53" s="13">
        <f t="shared" si="3"/>
        <v>286.94656488549617</v>
      </c>
      <c r="O53" s="14">
        <f t="shared" si="4"/>
        <v>0</v>
      </c>
      <c r="P53" s="15">
        <f t="shared" si="5"/>
        <v>-13.053435114503827</v>
      </c>
      <c r="Q53" s="469">
        <f t="shared" si="6"/>
        <v>0.95648854961832053</v>
      </c>
      <c r="R53" s="627"/>
      <c r="S53" s="32">
        <v>0.25277777777777777</v>
      </c>
      <c r="T53" s="32">
        <v>0.34375</v>
      </c>
      <c r="U53" s="466">
        <f t="shared" ref="U53:U55" si="34">(S53-T52)*24*60</f>
        <v>7.9999999999999716</v>
      </c>
      <c r="V53" s="478">
        <f t="shared" si="33"/>
        <v>131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-130.53435114503827</v>
      </c>
      <c r="AF53" s="469">
        <f t="shared" si="9"/>
        <v>0.95648854961832053</v>
      </c>
      <c r="AG53" s="627"/>
    </row>
    <row r="54" spans="1:33" ht="15.75" customHeight="1">
      <c r="A54" s="624" t="s">
        <v>183</v>
      </c>
      <c r="B54" s="27" t="s">
        <v>27</v>
      </c>
      <c r="C54" s="605" t="s">
        <v>30</v>
      </c>
      <c r="D54" s="606"/>
      <c r="E54" s="27">
        <v>27.17</v>
      </c>
      <c r="F54" s="479">
        <v>5735</v>
      </c>
      <c r="G54" s="466">
        <f t="shared" si="31"/>
        <v>155819.95000000001</v>
      </c>
      <c r="H54" s="31" t="s">
        <v>40</v>
      </c>
      <c r="I54" s="477">
        <v>10</v>
      </c>
      <c r="J54" s="29">
        <v>3000</v>
      </c>
      <c r="K54" s="12">
        <f t="shared" si="1"/>
        <v>300</v>
      </c>
      <c r="L54" s="477">
        <v>10</v>
      </c>
      <c r="M54" s="13">
        <f t="shared" si="32"/>
        <v>2867.5000000000009</v>
      </c>
      <c r="N54" s="13">
        <f t="shared" si="3"/>
        <v>286.75000000000011</v>
      </c>
      <c r="O54" s="14">
        <f t="shared" si="4"/>
        <v>0</v>
      </c>
      <c r="P54" s="15">
        <f t="shared" si="5"/>
        <v>-13.249999999999886</v>
      </c>
      <c r="Q54" s="469">
        <f t="shared" si="6"/>
        <v>0.95583333333333376</v>
      </c>
      <c r="R54" s="627"/>
      <c r="S54" s="32">
        <v>0.34861111111111109</v>
      </c>
      <c r="T54" s="32">
        <v>0.43194444444444441</v>
      </c>
      <c r="U54" s="466">
        <f t="shared" si="34"/>
        <v>6.9999999999999751</v>
      </c>
      <c r="V54" s="478">
        <f t="shared" si="33"/>
        <v>119.99999999999997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-132.49999999999909</v>
      </c>
      <c r="AF54" s="469">
        <f t="shared" si="9"/>
        <v>0.95583333333333365</v>
      </c>
      <c r="AG54" s="627"/>
    </row>
    <row r="55" spans="1:33" ht="15.75" customHeight="1">
      <c r="A55" s="624" t="s">
        <v>183</v>
      </c>
      <c r="B55" s="27" t="s">
        <v>27</v>
      </c>
      <c r="C55" s="605" t="s">
        <v>35</v>
      </c>
      <c r="D55" s="606"/>
      <c r="E55" s="27">
        <v>35.869999999999997</v>
      </c>
      <c r="F55" s="479">
        <v>2897</v>
      </c>
      <c r="G55" s="466">
        <f t="shared" si="31"/>
        <v>103915.39</v>
      </c>
      <c r="H55" s="31" t="s">
        <v>40</v>
      </c>
      <c r="I55" s="477">
        <v>9</v>
      </c>
      <c r="J55" s="29">
        <v>3000</v>
      </c>
      <c r="K55" s="12">
        <f t="shared" si="1"/>
        <v>333.33333333333331</v>
      </c>
      <c r="L55" s="477">
        <v>9</v>
      </c>
      <c r="M55" s="13">
        <f t="shared" si="32"/>
        <v>2896.9999999999986</v>
      </c>
      <c r="N55" s="13">
        <f t="shared" si="3"/>
        <v>321.88888888888874</v>
      </c>
      <c r="O55" s="14">
        <f t="shared" si="4"/>
        <v>0</v>
      </c>
      <c r="P55" s="15">
        <f t="shared" si="5"/>
        <v>-11.444444444444571</v>
      </c>
      <c r="Q55" s="469">
        <f t="shared" si="6"/>
        <v>0.96566666666666634</v>
      </c>
      <c r="R55" s="627"/>
      <c r="S55" s="32">
        <v>0.43541666666666662</v>
      </c>
      <c r="T55" s="32">
        <v>0.4770833333333333</v>
      </c>
      <c r="U55" s="466">
        <f t="shared" si="34"/>
        <v>4.9999999999999822</v>
      </c>
      <c r="V55" s="478">
        <f t="shared" si="33"/>
        <v>60.000000000000028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-103.00000000000136</v>
      </c>
      <c r="AF55" s="469">
        <f t="shared" si="9"/>
        <v>0.96566666666666623</v>
      </c>
      <c r="AG55" s="627"/>
    </row>
    <row r="56" spans="1:33" ht="15.75" customHeight="1">
      <c r="A56" s="625" t="s">
        <v>183</v>
      </c>
      <c r="B56" s="27" t="s">
        <v>2440</v>
      </c>
      <c r="C56" s="609"/>
      <c r="D56" s="610"/>
      <c r="E56" s="467"/>
      <c r="F56" s="479"/>
      <c r="G56" s="466"/>
      <c r="H56" s="479"/>
      <c r="I56" s="21">
        <v>9.75</v>
      </c>
      <c r="J56" s="29">
        <v>3000</v>
      </c>
      <c r="K56" s="12">
        <f t="shared" si="1"/>
        <v>307.69230769230768</v>
      </c>
      <c r="L56" s="21">
        <v>9.75</v>
      </c>
      <c r="M56" s="13">
        <f>AVERAGE(M52:M55)</f>
        <v>2884.1164122137402</v>
      </c>
      <c r="N56" s="12">
        <f t="shared" si="3"/>
        <v>295.80681150910158</v>
      </c>
      <c r="O56" s="14">
        <f t="shared" si="4"/>
        <v>0</v>
      </c>
      <c r="P56" s="15">
        <f t="shared" si="5"/>
        <v>-11.885496183206101</v>
      </c>
      <c r="Q56" s="469">
        <f t="shared" si="6"/>
        <v>0.96137213740458016</v>
      </c>
      <c r="R56" s="628"/>
      <c r="S56" s="32"/>
      <c r="T56" s="32"/>
      <c r="U56" s="466"/>
      <c r="V56" s="478"/>
      <c r="W56" s="16"/>
      <c r="X56" s="16"/>
      <c r="Y56" s="22">
        <f>SUM(Y52:Y55)</f>
        <v>0</v>
      </c>
      <c r="Z56" s="22">
        <f>SUM(Z52:Z55)</f>
        <v>0</v>
      </c>
      <c r="AA56" s="619"/>
      <c r="AB56" s="620"/>
      <c r="AC56" s="22">
        <v>4</v>
      </c>
      <c r="AD56" s="22">
        <f>SUM(AD52:AD55)</f>
        <v>0</v>
      </c>
      <c r="AE56" s="14">
        <f t="shared" si="8"/>
        <v>-115.8835877862598</v>
      </c>
      <c r="AF56" s="469">
        <f t="shared" si="9"/>
        <v>0.96137213740458005</v>
      </c>
      <c r="AG56" s="628"/>
    </row>
    <row r="57" spans="1:33" ht="15.75" customHeight="1">
      <c r="A57" s="621" t="s">
        <v>623</v>
      </c>
      <c r="B57" s="27" t="s">
        <v>5</v>
      </c>
      <c r="C57" s="660" t="s">
        <v>15</v>
      </c>
      <c r="D57" s="660"/>
      <c r="E57" s="27">
        <v>59.04</v>
      </c>
      <c r="F57" s="30">
        <v>2162</v>
      </c>
      <c r="G57" s="466">
        <f t="shared" ref="G57:G65" si="35">E57*F57</f>
        <v>127644.48</v>
      </c>
      <c r="H57" s="31" t="s">
        <v>40</v>
      </c>
      <c r="I57" s="477">
        <v>19</v>
      </c>
      <c r="J57" s="29">
        <v>2000</v>
      </c>
      <c r="K57" s="12">
        <f t="shared" si="1"/>
        <v>105.26315789473684</v>
      </c>
      <c r="L57" s="477">
        <v>19</v>
      </c>
      <c r="M57" s="13">
        <f t="shared" ref="M57" si="36">F57/V57*60</f>
        <v>1907.6470588235306</v>
      </c>
      <c r="N57" s="13">
        <f t="shared" si="3"/>
        <v>100.40247678018582</v>
      </c>
      <c r="O57" s="14">
        <f t="shared" si="4"/>
        <v>0</v>
      </c>
      <c r="P57" s="15">
        <f t="shared" si="5"/>
        <v>-4.8606811145510136</v>
      </c>
      <c r="Q57" s="469">
        <f t="shared" si="6"/>
        <v>0.9538235294117654</v>
      </c>
      <c r="R57" s="616">
        <f>Q66</f>
        <v>0.9610909064998141</v>
      </c>
      <c r="S57" s="32">
        <v>0.20833333333333334</v>
      </c>
      <c r="T57" s="32">
        <v>0.25555555555555554</v>
      </c>
      <c r="U57" s="20"/>
      <c r="V57" s="478">
        <f t="shared" ref="V57:V65" si="37">(T57-S57)*24*60</f>
        <v>67.999999999999957</v>
      </c>
      <c r="W57" s="16"/>
      <c r="X57" s="16"/>
      <c r="Y57" s="20"/>
      <c r="Z57" s="20"/>
      <c r="AA57" s="612"/>
      <c r="AB57" s="612"/>
      <c r="AC57" s="18">
        <v>9</v>
      </c>
      <c r="AD57" s="18"/>
      <c r="AE57" s="14">
        <f t="shared" si="8"/>
        <v>-92.352941176469358</v>
      </c>
      <c r="AF57" s="469">
        <f t="shared" si="9"/>
        <v>0.95382352941176529</v>
      </c>
      <c r="AG57" s="616">
        <f>AF66</f>
        <v>0.9610909064998141</v>
      </c>
    </row>
    <row r="58" spans="1:33" ht="15.75" customHeight="1">
      <c r="A58" s="621" t="s">
        <v>2446</v>
      </c>
      <c r="B58" s="27" t="s">
        <v>5</v>
      </c>
      <c r="C58" s="660" t="s">
        <v>31</v>
      </c>
      <c r="D58" s="660"/>
      <c r="E58" s="27">
        <v>56.43</v>
      </c>
      <c r="F58" s="30">
        <v>1504</v>
      </c>
      <c r="G58" s="466">
        <f t="shared" si="35"/>
        <v>84870.720000000001</v>
      </c>
      <c r="H58" s="31" t="s">
        <v>40</v>
      </c>
      <c r="I58" s="477">
        <v>22</v>
      </c>
      <c r="J58" s="29">
        <v>2000</v>
      </c>
      <c r="K58" s="12">
        <f t="shared" si="1"/>
        <v>90.909090909090907</v>
      </c>
      <c r="L58" s="477">
        <v>22</v>
      </c>
      <c r="M58" s="13">
        <f>F58/V58*60</f>
        <v>1920.0000000000005</v>
      </c>
      <c r="N58" s="13">
        <f t="shared" si="3"/>
        <v>87.272727272727295</v>
      </c>
      <c r="O58" s="14">
        <f t="shared" si="4"/>
        <v>0</v>
      </c>
      <c r="P58" s="15">
        <f t="shared" si="5"/>
        <v>-3.6363636363636118</v>
      </c>
      <c r="Q58" s="469">
        <f t="shared" si="6"/>
        <v>0.9600000000000003</v>
      </c>
      <c r="R58" s="616"/>
      <c r="S58" s="32">
        <v>0.26111111111111107</v>
      </c>
      <c r="T58" s="32">
        <v>0.29374999999999996</v>
      </c>
      <c r="U58" s="466">
        <f t="shared" ref="U58:U65" si="38">IF(S58=TIME(17,0,0),"",(S58-T57)*24*60)</f>
        <v>7.9999999999999716</v>
      </c>
      <c r="V58" s="478">
        <f t="shared" si="37"/>
        <v>46.999999999999993</v>
      </c>
      <c r="W58" s="16"/>
      <c r="X58" s="16"/>
      <c r="Y58" s="16"/>
      <c r="Z58" s="16"/>
      <c r="AA58" s="612"/>
      <c r="AB58" s="612"/>
      <c r="AC58" s="18"/>
      <c r="AD58" s="18"/>
      <c r="AE58" s="14">
        <f t="shared" si="8"/>
        <v>-79.999999999999545</v>
      </c>
      <c r="AF58" s="469">
        <f t="shared" si="9"/>
        <v>0.96000000000000019</v>
      </c>
      <c r="AG58" s="616"/>
    </row>
    <row r="59" spans="1:33" ht="15.75" customHeight="1">
      <c r="A59" s="621" t="s">
        <v>2446</v>
      </c>
      <c r="B59" s="27" t="s">
        <v>5</v>
      </c>
      <c r="C59" s="605" t="s">
        <v>81</v>
      </c>
      <c r="D59" s="606"/>
      <c r="E59" s="27">
        <v>51.44</v>
      </c>
      <c r="F59" s="30">
        <v>2107</v>
      </c>
      <c r="G59" s="466">
        <f t="shared" si="35"/>
        <v>108384.08</v>
      </c>
      <c r="H59" s="31" t="s">
        <v>40</v>
      </c>
      <c r="I59" s="477">
        <v>25</v>
      </c>
      <c r="J59" s="29">
        <v>2000</v>
      </c>
      <c r="K59" s="12">
        <f t="shared" si="1"/>
        <v>80</v>
      </c>
      <c r="L59" s="477">
        <v>25</v>
      </c>
      <c r="M59" s="13">
        <f t="shared" ref="M59:M65" si="39">F59/V59*60</f>
        <v>1915.4545454545455</v>
      </c>
      <c r="N59" s="13">
        <f t="shared" si="3"/>
        <v>76.618181818181824</v>
      </c>
      <c r="O59" s="14">
        <f t="shared" si="4"/>
        <v>0</v>
      </c>
      <c r="P59" s="15">
        <f t="shared" si="5"/>
        <v>-3.3818181818181756</v>
      </c>
      <c r="Q59" s="469">
        <f t="shared" si="6"/>
        <v>0.95772727272727276</v>
      </c>
      <c r="R59" s="616"/>
      <c r="S59" s="32">
        <v>0.29722222222222217</v>
      </c>
      <c r="T59" s="32">
        <v>0.3430555555555555</v>
      </c>
      <c r="U59" s="466">
        <f t="shared" si="38"/>
        <v>4.9999999999999822</v>
      </c>
      <c r="V59" s="478">
        <f t="shared" si="37"/>
        <v>66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-84.545454545454504</v>
      </c>
      <c r="AF59" s="469">
        <f t="shared" si="9"/>
        <v>0.95772727272727276</v>
      </c>
      <c r="AG59" s="616"/>
    </row>
    <row r="60" spans="1:33" ht="15.75" customHeight="1">
      <c r="A60" s="621" t="s">
        <v>2446</v>
      </c>
      <c r="B60" s="27" t="s">
        <v>8</v>
      </c>
      <c r="C60" s="471" t="s">
        <v>61</v>
      </c>
      <c r="D60" s="472"/>
      <c r="E60" s="27">
        <v>46</v>
      </c>
      <c r="F60" s="30">
        <v>2299</v>
      </c>
      <c r="G60" s="466">
        <f t="shared" si="35"/>
        <v>105754</v>
      </c>
      <c r="H60" s="31" t="s">
        <v>40</v>
      </c>
      <c r="I60" s="477">
        <v>16</v>
      </c>
      <c r="J60" s="29">
        <v>2000</v>
      </c>
      <c r="K60" s="12">
        <f t="shared" si="1"/>
        <v>125</v>
      </c>
      <c r="L60" s="477">
        <v>16</v>
      </c>
      <c r="M60" s="13">
        <f t="shared" si="39"/>
        <v>1915.8333333333337</v>
      </c>
      <c r="N60" s="13">
        <f t="shared" si="3"/>
        <v>119.73958333333336</v>
      </c>
      <c r="O60" s="14">
        <f t="shared" si="4"/>
        <v>0</v>
      </c>
      <c r="P60" s="15">
        <f t="shared" si="5"/>
        <v>-5.260416666666643</v>
      </c>
      <c r="Q60" s="469">
        <f t="shared" si="6"/>
        <v>0.95791666666666686</v>
      </c>
      <c r="R60" s="616"/>
      <c r="S60" s="32">
        <v>0.3479166666666666</v>
      </c>
      <c r="T60" s="32">
        <v>0.39791666666666659</v>
      </c>
      <c r="U60" s="466">
        <f t="shared" si="38"/>
        <v>6.9999999999999751</v>
      </c>
      <c r="V60" s="478">
        <f t="shared" si="37"/>
        <v>71.999999999999986</v>
      </c>
      <c r="W60" s="16"/>
      <c r="X60" s="16"/>
      <c r="Y60" s="19"/>
      <c r="Z60" s="19"/>
      <c r="AA60" s="612"/>
      <c r="AB60" s="612"/>
      <c r="AC60" s="18"/>
      <c r="AD60" s="18"/>
      <c r="AE60" s="14">
        <f t="shared" si="8"/>
        <v>-84.166666666666288</v>
      </c>
      <c r="AF60" s="469">
        <f t="shared" si="9"/>
        <v>0.95791666666666686</v>
      </c>
      <c r="AG60" s="616"/>
    </row>
    <row r="61" spans="1:33" ht="15.75" customHeight="1">
      <c r="A61" s="621" t="s">
        <v>623</v>
      </c>
      <c r="B61" s="27" t="s">
        <v>8</v>
      </c>
      <c r="C61" s="471" t="s">
        <v>79</v>
      </c>
      <c r="D61" s="472"/>
      <c r="E61" s="27">
        <v>46</v>
      </c>
      <c r="F61" s="30">
        <v>2596</v>
      </c>
      <c r="G61" s="466">
        <f t="shared" si="35"/>
        <v>119416</v>
      </c>
      <c r="H61" s="31" t="s">
        <v>40</v>
      </c>
      <c r="I61" s="477">
        <v>17</v>
      </c>
      <c r="J61" s="29">
        <v>2000</v>
      </c>
      <c r="K61" s="12">
        <f t="shared" si="1"/>
        <v>117.64705882352941</v>
      </c>
      <c r="L61" s="477">
        <v>17</v>
      </c>
      <c r="M61" s="13">
        <f t="shared" si="39"/>
        <v>1922.9629629629624</v>
      </c>
      <c r="N61" s="13">
        <f t="shared" si="3"/>
        <v>113.11546840958601</v>
      </c>
      <c r="O61" s="14">
        <f t="shared" si="4"/>
        <v>0</v>
      </c>
      <c r="P61" s="15">
        <f t="shared" si="5"/>
        <v>-4.5315904139433911</v>
      </c>
      <c r="Q61" s="469">
        <f t="shared" si="6"/>
        <v>0.96148148148148116</v>
      </c>
      <c r="R61" s="616"/>
      <c r="S61" s="32">
        <v>0.40277777777777768</v>
      </c>
      <c r="T61" s="32">
        <v>0.4590277777777777</v>
      </c>
      <c r="U61" s="466">
        <f t="shared" si="38"/>
        <v>6.9999999999999751</v>
      </c>
      <c r="V61" s="478">
        <f t="shared" si="37"/>
        <v>81.000000000000028</v>
      </c>
      <c r="W61" s="16"/>
      <c r="X61" s="16"/>
      <c r="Y61" s="19"/>
      <c r="Z61" s="19"/>
      <c r="AA61" s="612"/>
      <c r="AB61" s="612"/>
      <c r="AC61" s="18"/>
      <c r="AD61" s="18"/>
      <c r="AE61" s="14">
        <f t="shared" si="8"/>
        <v>-77.037037037037635</v>
      </c>
      <c r="AF61" s="469">
        <f t="shared" si="9"/>
        <v>0.96148148148148116</v>
      </c>
      <c r="AG61" s="616"/>
    </row>
    <row r="62" spans="1:33" ht="15.75" customHeight="1">
      <c r="A62" s="621" t="s">
        <v>623</v>
      </c>
      <c r="B62" s="27" t="s">
        <v>5</v>
      </c>
      <c r="C62" s="605" t="s">
        <v>32</v>
      </c>
      <c r="D62" s="606"/>
      <c r="E62" s="27">
        <v>55.56</v>
      </c>
      <c r="F62" s="30">
        <v>1000</v>
      </c>
      <c r="G62" s="466">
        <f t="shared" si="35"/>
        <v>55560</v>
      </c>
      <c r="H62" s="31">
        <v>2</v>
      </c>
      <c r="I62" s="477">
        <v>17</v>
      </c>
      <c r="J62" s="29">
        <v>2000</v>
      </c>
      <c r="K62" s="12">
        <f t="shared" si="1"/>
        <v>117.64705882352941</v>
      </c>
      <c r="L62" s="477">
        <v>17</v>
      </c>
      <c r="M62" s="13">
        <f t="shared" si="39"/>
        <v>1935.483870967739</v>
      </c>
      <c r="N62" s="13">
        <f t="shared" si="3"/>
        <v>113.85199240986699</v>
      </c>
      <c r="O62" s="14">
        <f t="shared" si="4"/>
        <v>0</v>
      </c>
      <c r="P62" s="15">
        <f t="shared" si="5"/>
        <v>-3.7950664136624113</v>
      </c>
      <c r="Q62" s="469">
        <f t="shared" si="6"/>
        <v>0.96774193548386955</v>
      </c>
      <c r="R62" s="616"/>
      <c r="S62" s="32">
        <v>0.70833333333333337</v>
      </c>
      <c r="T62" s="32">
        <v>0.72986111111111118</v>
      </c>
      <c r="U62" s="466" t="str">
        <f t="shared" si="38"/>
        <v/>
      </c>
      <c r="V62" s="478">
        <f t="shared" si="37"/>
        <v>31.00000000000005</v>
      </c>
      <c r="W62" s="16"/>
      <c r="X62" s="16"/>
      <c r="Y62" s="19"/>
      <c r="Z62" s="19"/>
      <c r="AA62" s="607"/>
      <c r="AB62" s="608"/>
      <c r="AC62" s="18"/>
      <c r="AD62" s="18"/>
      <c r="AE62" s="14">
        <f t="shared" si="8"/>
        <v>-64.516129032261006</v>
      </c>
      <c r="AF62" s="469">
        <f t="shared" si="9"/>
        <v>0.96774193548386944</v>
      </c>
      <c r="AG62" s="616"/>
    </row>
    <row r="63" spans="1:33" ht="15.75" customHeight="1">
      <c r="A63" s="621" t="s">
        <v>2446</v>
      </c>
      <c r="B63" s="27" t="s">
        <v>5</v>
      </c>
      <c r="C63" s="605" t="s">
        <v>77</v>
      </c>
      <c r="D63" s="606"/>
      <c r="E63" s="27">
        <v>54.09</v>
      </c>
      <c r="F63" s="30">
        <v>1074</v>
      </c>
      <c r="G63" s="466">
        <f t="shared" si="35"/>
        <v>58092.66</v>
      </c>
      <c r="H63" s="31" t="s">
        <v>40</v>
      </c>
      <c r="I63" s="477">
        <v>13</v>
      </c>
      <c r="J63" s="29">
        <v>2000</v>
      </c>
      <c r="K63" s="12">
        <f t="shared" si="1"/>
        <v>153.84615384615384</v>
      </c>
      <c r="L63" s="477">
        <v>13</v>
      </c>
      <c r="M63" s="13">
        <f t="shared" si="39"/>
        <v>1952.7272727272702</v>
      </c>
      <c r="N63" s="13">
        <f t="shared" si="3"/>
        <v>150.20979020979001</v>
      </c>
      <c r="O63" s="14">
        <f t="shared" si="4"/>
        <v>0</v>
      </c>
      <c r="P63" s="15">
        <f t="shared" si="5"/>
        <v>-3.636363636363825</v>
      </c>
      <c r="Q63" s="469">
        <f t="shared" si="6"/>
        <v>0.9763636363636351</v>
      </c>
      <c r="R63" s="616"/>
      <c r="S63" s="32">
        <v>0.73333333333333339</v>
      </c>
      <c r="T63" s="32">
        <v>0.75625000000000009</v>
      </c>
      <c r="U63" s="466">
        <f t="shared" si="38"/>
        <v>4.9999999999999822</v>
      </c>
      <c r="V63" s="478">
        <f t="shared" si="37"/>
        <v>33.000000000000043</v>
      </c>
      <c r="W63" s="16"/>
      <c r="X63" s="16"/>
      <c r="Y63" s="19"/>
      <c r="Z63" s="19"/>
      <c r="AA63" s="607"/>
      <c r="AB63" s="608"/>
      <c r="AC63" s="18"/>
      <c r="AD63" s="18"/>
      <c r="AE63" s="14">
        <f t="shared" si="8"/>
        <v>-47.272727272729753</v>
      </c>
      <c r="AF63" s="469">
        <f t="shared" si="9"/>
        <v>0.9763636363636351</v>
      </c>
      <c r="AG63" s="616"/>
    </row>
    <row r="64" spans="1:33" ht="15.75" customHeight="1">
      <c r="A64" s="621" t="s">
        <v>2446</v>
      </c>
      <c r="B64" s="27" t="s">
        <v>5</v>
      </c>
      <c r="C64" s="605" t="s">
        <v>62</v>
      </c>
      <c r="D64" s="606"/>
      <c r="E64" s="27">
        <v>51.06</v>
      </c>
      <c r="F64" s="30">
        <v>3156</v>
      </c>
      <c r="G64" s="466">
        <f t="shared" si="35"/>
        <v>161145.36000000002</v>
      </c>
      <c r="H64" s="31" t="s">
        <v>40</v>
      </c>
      <c r="I64" s="477">
        <v>13</v>
      </c>
      <c r="J64" s="29">
        <v>2000</v>
      </c>
      <c r="K64" s="12">
        <f t="shared" si="1"/>
        <v>153.84615384615384</v>
      </c>
      <c r="L64" s="477">
        <v>13</v>
      </c>
      <c r="M64" s="13">
        <f t="shared" si="39"/>
        <v>1912.7272727272734</v>
      </c>
      <c r="N64" s="13">
        <f t="shared" si="3"/>
        <v>147.13286713286718</v>
      </c>
      <c r="O64" s="14">
        <f t="shared" si="4"/>
        <v>0</v>
      </c>
      <c r="P64" s="15">
        <f t="shared" si="5"/>
        <v>-6.7132867132866636</v>
      </c>
      <c r="Q64" s="469">
        <f t="shared" si="6"/>
        <v>0.95636363636363664</v>
      </c>
      <c r="R64" s="616"/>
      <c r="S64" s="32">
        <v>0.76180555555555562</v>
      </c>
      <c r="T64" s="32">
        <v>0.8305555555555556</v>
      </c>
      <c r="U64" s="466">
        <f t="shared" si="38"/>
        <v>7.9999999999999716</v>
      </c>
      <c r="V64" s="478">
        <f t="shared" si="37"/>
        <v>98.999999999999972</v>
      </c>
      <c r="W64" s="16">
        <f>T64</f>
        <v>0.8305555555555556</v>
      </c>
      <c r="X64" s="16">
        <f>S65</f>
        <v>0.87013888888888891</v>
      </c>
      <c r="Y64" s="19"/>
      <c r="Z64" s="19"/>
      <c r="AA64" s="607"/>
      <c r="AB64" s="608"/>
      <c r="AC64" s="18"/>
      <c r="AD64" s="18"/>
      <c r="AE64" s="14">
        <f t="shared" si="8"/>
        <v>-87.27272727272657</v>
      </c>
      <c r="AF64" s="469">
        <f t="shared" si="9"/>
        <v>0.95636363636363675</v>
      </c>
      <c r="AG64" s="616"/>
    </row>
    <row r="65" spans="1:33">
      <c r="A65" s="621" t="s">
        <v>623</v>
      </c>
      <c r="B65" s="27" t="s">
        <v>5</v>
      </c>
      <c r="C65" s="471" t="s">
        <v>32</v>
      </c>
      <c r="D65" s="472"/>
      <c r="E65" s="27">
        <v>55.56</v>
      </c>
      <c r="F65" s="30">
        <v>2396</v>
      </c>
      <c r="G65" s="466">
        <f t="shared" si="35"/>
        <v>133121.76</v>
      </c>
      <c r="H65" s="31" t="s">
        <v>40</v>
      </c>
      <c r="I65" s="477">
        <v>17</v>
      </c>
      <c r="J65" s="29">
        <v>2000</v>
      </c>
      <c r="K65" s="12">
        <f t="shared" si="1"/>
        <v>117.64705882352941</v>
      </c>
      <c r="L65" s="477">
        <v>17</v>
      </c>
      <c r="M65" s="13">
        <f t="shared" si="39"/>
        <v>1916.7999999999986</v>
      </c>
      <c r="N65" s="13">
        <f t="shared" si="3"/>
        <v>112.7529411764705</v>
      </c>
      <c r="O65" s="14">
        <f t="shared" si="4"/>
        <v>0</v>
      </c>
      <c r="P65" s="15">
        <f t="shared" si="5"/>
        <v>-4.8941176470589056</v>
      </c>
      <c r="Q65" s="469">
        <f t="shared" si="6"/>
        <v>0.95839999999999925</v>
      </c>
      <c r="R65" s="616"/>
      <c r="S65" s="32">
        <v>0.87013888888888891</v>
      </c>
      <c r="T65" s="32">
        <v>0.92222222222222228</v>
      </c>
      <c r="U65" s="466">
        <f t="shared" si="38"/>
        <v>56.999999999999957</v>
      </c>
      <c r="V65" s="478">
        <f t="shared" si="37"/>
        <v>75.000000000000057</v>
      </c>
      <c r="W65" s="16"/>
      <c r="X65" s="16"/>
      <c r="Y65" s="19"/>
      <c r="Z65" s="19"/>
      <c r="AA65" s="473"/>
      <c r="AB65" s="474"/>
      <c r="AC65" s="18"/>
      <c r="AD65" s="18"/>
      <c r="AE65" s="14">
        <f t="shared" si="8"/>
        <v>-83.20000000000141</v>
      </c>
      <c r="AF65" s="469">
        <f t="shared" si="9"/>
        <v>0.95839999999999925</v>
      </c>
      <c r="AG65" s="616"/>
    </row>
    <row r="66" spans="1:33">
      <c r="A66" s="622" t="s">
        <v>2446</v>
      </c>
      <c r="B66" s="27" t="s">
        <v>174</v>
      </c>
      <c r="C66" s="658"/>
      <c r="D66" s="658"/>
      <c r="E66" s="470"/>
      <c r="F66" s="28"/>
      <c r="G66" s="12"/>
      <c r="H66" s="479"/>
      <c r="I66" s="21">
        <v>17.666666666666668</v>
      </c>
      <c r="J66" s="29">
        <v>2000</v>
      </c>
      <c r="K66" s="12">
        <f t="shared" si="1"/>
        <v>113.20754716981131</v>
      </c>
      <c r="L66" s="21">
        <v>17.666666666666668</v>
      </c>
      <c r="M66" s="13">
        <f>AVERAGE(M57:M65)</f>
        <v>1922.1818129996282</v>
      </c>
      <c r="N66" s="12">
        <f t="shared" si="3"/>
        <v>108.80274413205441</v>
      </c>
      <c r="O66" s="14">
        <f t="shared" si="4"/>
        <v>0</v>
      </c>
      <c r="P66" s="15">
        <f t="shared" si="5"/>
        <v>-4.4048030377568921</v>
      </c>
      <c r="Q66" s="469">
        <f t="shared" si="6"/>
        <v>0.9610909064998141</v>
      </c>
      <c r="R66" s="616"/>
      <c r="S66" s="32"/>
      <c r="T66" s="32"/>
      <c r="U66" s="466"/>
      <c r="V66" s="478"/>
      <c r="W66" s="12"/>
      <c r="X66" s="12"/>
      <c r="Y66" s="22">
        <f>SUM(Y57:Y65)</f>
        <v>0</v>
      </c>
      <c r="Z66" s="22">
        <f>SUM(Z57:Z65)</f>
        <v>0</v>
      </c>
      <c r="AA66" s="611"/>
      <c r="AB66" s="611"/>
      <c r="AC66" s="22">
        <v>9</v>
      </c>
      <c r="AD66" s="22">
        <f>SUM(AD57:AD65)</f>
        <v>0</v>
      </c>
      <c r="AE66" s="14">
        <f>M66-J66</f>
        <v>-77.818187000371836</v>
      </c>
      <c r="AF66" s="469">
        <f t="shared" si="9"/>
        <v>0.9610909064998141</v>
      </c>
      <c r="AG66" s="616"/>
    </row>
    <row r="67" spans="1:33" ht="15.75" customHeight="1">
      <c r="A67" s="617" t="s">
        <v>2447</v>
      </c>
      <c r="B67" s="479" t="s">
        <v>27</v>
      </c>
      <c r="C67" s="660" t="s">
        <v>28</v>
      </c>
      <c r="D67" s="660"/>
      <c r="E67" s="27">
        <v>35.119999999999997</v>
      </c>
      <c r="F67" s="30">
        <v>5274</v>
      </c>
      <c r="G67" s="466">
        <f t="shared" ref="G67:G70" si="40">E67*F67</f>
        <v>185222.87999999998</v>
      </c>
      <c r="H67" s="31" t="s">
        <v>40</v>
      </c>
      <c r="I67" s="477">
        <v>10</v>
      </c>
      <c r="J67" s="29">
        <v>3000</v>
      </c>
      <c r="K67" s="12">
        <f t="shared" si="1"/>
        <v>300</v>
      </c>
      <c r="L67" s="477">
        <v>10</v>
      </c>
      <c r="M67" s="13">
        <f t="shared" ref="M67:M70" si="41">F67/V67*60</f>
        <v>2876.7272727272734</v>
      </c>
      <c r="N67" s="12">
        <f t="shared" si="3"/>
        <v>287.67272727272734</v>
      </c>
      <c r="O67" s="14">
        <f t="shared" si="4"/>
        <v>0</v>
      </c>
      <c r="P67" s="15">
        <f t="shared" si="5"/>
        <v>-12.327272727272657</v>
      </c>
      <c r="Q67" s="469">
        <f t="shared" si="6"/>
        <v>0.95890909090909116</v>
      </c>
      <c r="R67" s="616">
        <f>Q71</f>
        <v>0.96293557553557574</v>
      </c>
      <c r="S67" s="32">
        <v>0.20833333333333334</v>
      </c>
      <c r="T67" s="32">
        <v>0.28472222222222221</v>
      </c>
      <c r="U67" s="466"/>
      <c r="V67" s="478">
        <f t="shared" ref="V67:V70" si="42">(T67-S67)*24*60</f>
        <v>109.99999999999997</v>
      </c>
      <c r="W67" s="16"/>
      <c r="X67" s="16"/>
      <c r="Y67" s="20"/>
      <c r="Z67" s="20"/>
      <c r="AA67" s="612"/>
      <c r="AB67" s="612"/>
      <c r="AC67" s="18">
        <v>4</v>
      </c>
      <c r="AD67" s="18"/>
      <c r="AE67" s="14">
        <f t="shared" ref="AE67:AE80" si="43">M67-J67</f>
        <v>-123.27272727272657</v>
      </c>
      <c r="AF67" s="469">
        <f t="shared" si="9"/>
        <v>0.95890909090909116</v>
      </c>
      <c r="AG67" s="616">
        <f>AF71</f>
        <v>0.96293557553557574</v>
      </c>
    </row>
    <row r="68" spans="1:33" ht="15.75" customHeight="1">
      <c r="A68" s="617" t="s">
        <v>285</v>
      </c>
      <c r="B68" s="479" t="s">
        <v>27</v>
      </c>
      <c r="C68" s="660" t="s">
        <v>34</v>
      </c>
      <c r="D68" s="660"/>
      <c r="E68" s="27">
        <v>26.78</v>
      </c>
      <c r="F68" s="30">
        <v>3040</v>
      </c>
      <c r="G68" s="466">
        <f t="shared" si="40"/>
        <v>81411.199999999997</v>
      </c>
      <c r="H68" s="31" t="s">
        <v>40</v>
      </c>
      <c r="I68" s="477">
        <v>10</v>
      </c>
      <c r="J68" s="29">
        <v>3000</v>
      </c>
      <c r="K68" s="12">
        <f t="shared" si="1"/>
        <v>300</v>
      </c>
      <c r="L68" s="477">
        <v>10</v>
      </c>
      <c r="M68" s="13">
        <f t="shared" si="41"/>
        <v>2895.238095238095</v>
      </c>
      <c r="N68" s="12">
        <f t="shared" si="3"/>
        <v>289.52380952380952</v>
      </c>
      <c r="O68" s="14">
        <f t="shared" si="4"/>
        <v>0</v>
      </c>
      <c r="P68" s="15">
        <f t="shared" si="5"/>
        <v>-10.476190476190482</v>
      </c>
      <c r="Q68" s="469">
        <f t="shared" si="6"/>
        <v>0.96507936507936509</v>
      </c>
      <c r="R68" s="616"/>
      <c r="S68" s="32">
        <v>0.29027777777777775</v>
      </c>
      <c r="T68" s="32">
        <v>0.33402777777777776</v>
      </c>
      <c r="U68" s="466">
        <f t="shared" ref="U68:U70" si="44">(S68-T67)*24*60</f>
        <v>7.9999999999999716</v>
      </c>
      <c r="V68" s="478">
        <f t="shared" si="42"/>
        <v>63.000000000000014</v>
      </c>
      <c r="W68" s="466"/>
      <c r="X68" s="466"/>
      <c r="Y68" s="466"/>
      <c r="Z68" s="466"/>
      <c r="AA68" s="612"/>
      <c r="AB68" s="612"/>
      <c r="AC68" s="18"/>
      <c r="AD68" s="18"/>
      <c r="AE68" s="14">
        <f t="shared" si="43"/>
        <v>-104.76190476190504</v>
      </c>
      <c r="AF68" s="469">
        <f t="shared" si="9"/>
        <v>0.96507936507936498</v>
      </c>
      <c r="AG68" s="616"/>
    </row>
    <row r="69" spans="1:33" ht="15.75" customHeight="1">
      <c r="A69" s="617" t="s">
        <v>2447</v>
      </c>
      <c r="B69" s="479" t="s">
        <v>27</v>
      </c>
      <c r="C69" s="660" t="s">
        <v>36</v>
      </c>
      <c r="D69" s="660"/>
      <c r="E69" s="27">
        <v>34.35</v>
      </c>
      <c r="F69" s="30">
        <v>1256</v>
      </c>
      <c r="G69" s="466">
        <f t="shared" si="40"/>
        <v>43143.6</v>
      </c>
      <c r="H69" s="31" t="s">
        <v>40</v>
      </c>
      <c r="I69" s="477">
        <v>8</v>
      </c>
      <c r="J69" s="29">
        <v>3000</v>
      </c>
      <c r="K69" s="12">
        <f t="shared" ref="K69:K80" si="45">J69/I69</f>
        <v>375</v>
      </c>
      <c r="L69" s="477">
        <v>8</v>
      </c>
      <c r="M69" s="13">
        <f t="shared" si="41"/>
        <v>2898.4615384615399</v>
      </c>
      <c r="N69" s="12">
        <f t="shared" ref="N69:N80" si="46">M69/L69</f>
        <v>362.30769230769249</v>
      </c>
      <c r="O69" s="14">
        <f t="shared" ref="O69:O80" si="47">L69-I69</f>
        <v>0</v>
      </c>
      <c r="P69" s="15">
        <f t="shared" ref="P69:P80" si="48">N69-K69</f>
        <v>-12.692307692307509</v>
      </c>
      <c r="Q69" s="469">
        <f t="shared" ref="Q69:Q80" si="49">N69/K69</f>
        <v>0.9661538461538467</v>
      </c>
      <c r="R69" s="616"/>
      <c r="S69" s="32">
        <v>0.33888888888888885</v>
      </c>
      <c r="T69" s="32">
        <v>0.3569444444444444</v>
      </c>
      <c r="U69" s="466">
        <f t="shared" si="44"/>
        <v>6.9999999999999751</v>
      </c>
      <c r="V69" s="478">
        <f t="shared" si="42"/>
        <v>25.999999999999986</v>
      </c>
      <c r="W69" s="466"/>
      <c r="X69" s="466"/>
      <c r="Y69" s="466"/>
      <c r="Z69" s="466"/>
      <c r="AA69" s="612"/>
      <c r="AB69" s="612"/>
      <c r="AC69" s="18"/>
      <c r="AD69" s="18"/>
      <c r="AE69" s="14">
        <f t="shared" si="43"/>
        <v>-101.53846153846007</v>
      </c>
      <c r="AF69" s="469">
        <f t="shared" ref="AF69:AF80" si="50">M69/J69</f>
        <v>0.9661538461538467</v>
      </c>
      <c r="AG69" s="616"/>
    </row>
    <row r="70" spans="1:33" ht="15.75" customHeight="1">
      <c r="A70" s="617" t="s">
        <v>2447</v>
      </c>
      <c r="B70" s="479" t="s">
        <v>27</v>
      </c>
      <c r="C70" s="660" t="s">
        <v>737</v>
      </c>
      <c r="D70" s="660"/>
      <c r="E70" s="27">
        <v>36.14</v>
      </c>
      <c r="F70" s="30">
        <v>2404</v>
      </c>
      <c r="G70" s="466">
        <f t="shared" si="40"/>
        <v>86880.56</v>
      </c>
      <c r="H70" s="31" t="s">
        <v>40</v>
      </c>
      <c r="I70" s="477">
        <v>11</v>
      </c>
      <c r="J70" s="29">
        <v>3000</v>
      </c>
      <c r="K70" s="12">
        <f t="shared" si="45"/>
        <v>272.72727272727275</v>
      </c>
      <c r="L70" s="477">
        <v>11</v>
      </c>
      <c r="M70" s="13">
        <f t="shared" si="41"/>
        <v>2884.8000000000006</v>
      </c>
      <c r="N70" s="12">
        <f t="shared" si="46"/>
        <v>262.25454545454551</v>
      </c>
      <c r="O70" s="14">
        <f t="shared" si="47"/>
        <v>0</v>
      </c>
      <c r="P70" s="15">
        <f t="shared" si="48"/>
        <v>-10.472727272727241</v>
      </c>
      <c r="Q70" s="469">
        <f t="shared" si="49"/>
        <v>0.96160000000000012</v>
      </c>
      <c r="R70" s="616"/>
      <c r="S70" s="32">
        <v>0.36180555555555549</v>
      </c>
      <c r="T70" s="32">
        <v>0.3965277777777777</v>
      </c>
      <c r="U70" s="466">
        <f t="shared" si="44"/>
        <v>6.9999999999999751</v>
      </c>
      <c r="V70" s="478">
        <f t="shared" si="42"/>
        <v>49.999999999999986</v>
      </c>
      <c r="W70" s="466"/>
      <c r="X70" s="466"/>
      <c r="Y70" s="466"/>
      <c r="Z70" s="466"/>
      <c r="AA70" s="612"/>
      <c r="AB70" s="612"/>
      <c r="AC70" s="18"/>
      <c r="AD70" s="18"/>
      <c r="AE70" s="14">
        <f t="shared" si="43"/>
        <v>-115.19999999999936</v>
      </c>
      <c r="AF70" s="469">
        <f t="shared" si="50"/>
        <v>0.96160000000000023</v>
      </c>
      <c r="AG70" s="616"/>
    </row>
    <row r="71" spans="1:33">
      <c r="A71" s="618" t="s">
        <v>285</v>
      </c>
      <c r="B71" s="27" t="s">
        <v>2440</v>
      </c>
      <c r="C71" s="658"/>
      <c r="D71" s="658"/>
      <c r="E71" s="470"/>
      <c r="F71" s="28"/>
      <c r="G71" s="12"/>
      <c r="H71" s="479"/>
      <c r="I71" s="21">
        <v>9.75</v>
      </c>
      <c r="J71" s="29">
        <v>3000</v>
      </c>
      <c r="K71" s="12">
        <f t="shared" si="45"/>
        <v>307.69230769230768</v>
      </c>
      <c r="L71" s="21">
        <v>9.75</v>
      </c>
      <c r="M71" s="13">
        <f>AVERAGE(M67:M70)</f>
        <v>2888.8067266067274</v>
      </c>
      <c r="N71" s="12">
        <f t="shared" si="46"/>
        <v>296.28786939556176</v>
      </c>
      <c r="O71" s="14">
        <f t="shared" si="47"/>
        <v>0</v>
      </c>
      <c r="P71" s="15">
        <f t="shared" si="48"/>
        <v>-11.404438296745923</v>
      </c>
      <c r="Q71" s="469">
        <f t="shared" si="49"/>
        <v>0.96293557553557574</v>
      </c>
      <c r="R71" s="616"/>
      <c r="S71" s="32"/>
      <c r="T71" s="32"/>
      <c r="U71" s="12"/>
      <c r="V71" s="478"/>
      <c r="W71" s="12"/>
      <c r="X71" s="12"/>
      <c r="Y71" s="22">
        <f>SUM(Y67:Y70)</f>
        <v>0</v>
      </c>
      <c r="Z71" s="22">
        <f>SUM(Z67:Z70)</f>
        <v>0</v>
      </c>
      <c r="AA71" s="611"/>
      <c r="AB71" s="611"/>
      <c r="AC71" s="22">
        <v>4</v>
      </c>
      <c r="AD71" s="22">
        <f>SUM(AD67:AD70)</f>
        <v>0</v>
      </c>
      <c r="AE71" s="14">
        <f t="shared" si="43"/>
        <v>-111.19327339327265</v>
      </c>
      <c r="AF71" s="469">
        <f t="shared" si="50"/>
        <v>0.96293557553557574</v>
      </c>
      <c r="AG71" s="616"/>
    </row>
    <row r="72" spans="1:33" ht="15.75" customHeight="1">
      <c r="A72" s="613" t="s">
        <v>73</v>
      </c>
      <c r="B72" s="479" t="s">
        <v>20</v>
      </c>
      <c r="C72" s="660" t="s">
        <v>39</v>
      </c>
      <c r="D72" s="660"/>
      <c r="E72" s="27">
        <v>19.02</v>
      </c>
      <c r="F72" s="479">
        <v>5700</v>
      </c>
      <c r="G72" s="466">
        <f t="shared" ref="G72:G79" si="51">E72*F72</f>
        <v>108414</v>
      </c>
      <c r="H72" s="31">
        <v>2</v>
      </c>
      <c r="I72" s="477">
        <v>14</v>
      </c>
      <c r="J72" s="29">
        <v>2400</v>
      </c>
      <c r="K72" s="12">
        <f t="shared" si="45"/>
        <v>171.42857142857142</v>
      </c>
      <c r="L72" s="477">
        <v>14</v>
      </c>
      <c r="M72" s="13">
        <f t="shared" ref="M72:M79" si="52">F72/V72*60</f>
        <v>2295.3020134228186</v>
      </c>
      <c r="N72" s="12">
        <f t="shared" si="46"/>
        <v>163.95014381591562</v>
      </c>
      <c r="O72" s="14">
        <f t="shared" si="47"/>
        <v>0</v>
      </c>
      <c r="P72" s="15">
        <f t="shared" si="48"/>
        <v>-7.4784276126557927</v>
      </c>
      <c r="Q72" s="469">
        <f t="shared" si="49"/>
        <v>0.9563758389261745</v>
      </c>
      <c r="R72" s="616">
        <f>Q80</f>
        <v>0.95677385172316787</v>
      </c>
      <c r="S72" s="32">
        <v>8.3333333333333329E-2</v>
      </c>
      <c r="T72" s="32">
        <v>0.18680555555555556</v>
      </c>
      <c r="U72" s="20"/>
      <c r="V72" s="478">
        <f t="shared" ref="V72:V79" si="53">(T72-S72)*24*60</f>
        <v>149</v>
      </c>
      <c r="W72" s="16">
        <f>T72</f>
        <v>0.18680555555555556</v>
      </c>
      <c r="X72" s="16">
        <f>S73</f>
        <v>0.20555555555555557</v>
      </c>
      <c r="Y72" s="16"/>
      <c r="Z72" s="16"/>
      <c r="AA72" s="612"/>
      <c r="AB72" s="612"/>
      <c r="AC72" s="18">
        <v>8</v>
      </c>
      <c r="AD72" s="18"/>
      <c r="AE72" s="14">
        <f t="shared" si="43"/>
        <v>-104.69798657718138</v>
      </c>
      <c r="AF72" s="469">
        <f t="shared" si="50"/>
        <v>0.95637583892617439</v>
      </c>
      <c r="AG72" s="616">
        <f>AF80</f>
        <v>0.95677385172316787</v>
      </c>
    </row>
    <row r="73" spans="1:33" ht="15.75" customHeight="1">
      <c r="A73" s="614" t="s">
        <v>2448</v>
      </c>
      <c r="B73" s="479" t="s">
        <v>20</v>
      </c>
      <c r="C73" s="660" t="s">
        <v>24</v>
      </c>
      <c r="D73" s="660"/>
      <c r="E73" s="27">
        <v>20.36</v>
      </c>
      <c r="F73" s="479">
        <v>4605</v>
      </c>
      <c r="G73" s="466">
        <f t="shared" si="51"/>
        <v>93757.8</v>
      </c>
      <c r="H73" s="31" t="s">
        <v>40</v>
      </c>
      <c r="I73" s="477">
        <v>17</v>
      </c>
      <c r="J73" s="29">
        <v>2400</v>
      </c>
      <c r="K73" s="12">
        <f t="shared" si="45"/>
        <v>141.1764705882353</v>
      </c>
      <c r="L73" s="477">
        <v>17</v>
      </c>
      <c r="M73" s="13">
        <f t="shared" si="52"/>
        <v>2283.4710743801652</v>
      </c>
      <c r="N73" s="12">
        <f t="shared" si="46"/>
        <v>134.3218279047156</v>
      </c>
      <c r="O73" s="14">
        <f t="shared" si="47"/>
        <v>0</v>
      </c>
      <c r="P73" s="15">
        <f t="shared" si="48"/>
        <v>-6.8546426835196996</v>
      </c>
      <c r="Q73" s="469">
        <f t="shared" si="49"/>
        <v>0.95144628099173545</v>
      </c>
      <c r="R73" s="616"/>
      <c r="S73" s="32">
        <v>0.20555555555555557</v>
      </c>
      <c r="T73" s="32">
        <v>0.28958333333333336</v>
      </c>
      <c r="U73" s="466">
        <f t="shared" ref="U73:U79" si="54">(S73-T72)*24*60</f>
        <v>27.000000000000025</v>
      </c>
      <c r="V73" s="478">
        <f t="shared" si="53"/>
        <v>121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-116.52892561983481</v>
      </c>
      <c r="AF73" s="469">
        <f t="shared" si="50"/>
        <v>0.95144628099173545</v>
      </c>
      <c r="AG73" s="616"/>
    </row>
    <row r="74" spans="1:33" ht="15.75" customHeight="1">
      <c r="A74" s="614" t="s">
        <v>2448</v>
      </c>
      <c r="B74" s="479" t="s">
        <v>20</v>
      </c>
      <c r="C74" s="660" t="s">
        <v>80</v>
      </c>
      <c r="D74" s="660"/>
      <c r="E74" s="27">
        <v>25.98</v>
      </c>
      <c r="F74" s="479">
        <v>3336</v>
      </c>
      <c r="G74" s="466">
        <f t="shared" si="51"/>
        <v>86669.28</v>
      </c>
      <c r="H74" s="31" t="s">
        <v>40</v>
      </c>
      <c r="I74" s="477">
        <v>17</v>
      </c>
      <c r="J74" s="29">
        <v>2400</v>
      </c>
      <c r="K74" s="12">
        <f t="shared" si="45"/>
        <v>141.1764705882353</v>
      </c>
      <c r="L74" s="477">
        <v>17</v>
      </c>
      <c r="M74" s="13">
        <f t="shared" si="52"/>
        <v>2300.6896551724135</v>
      </c>
      <c r="N74" s="12">
        <f t="shared" si="46"/>
        <v>135.33468559837726</v>
      </c>
      <c r="O74" s="14">
        <f t="shared" si="47"/>
        <v>0</v>
      </c>
      <c r="P74" s="15">
        <f t="shared" si="48"/>
        <v>-5.8417849898580414</v>
      </c>
      <c r="Q74" s="469">
        <f t="shared" si="49"/>
        <v>0.95862068965517222</v>
      </c>
      <c r="R74" s="616"/>
      <c r="S74" s="32">
        <v>0.2951388888888889</v>
      </c>
      <c r="T74" s="32">
        <v>0.35555555555555557</v>
      </c>
      <c r="U74" s="466">
        <f t="shared" si="54"/>
        <v>7.9999999999999716</v>
      </c>
      <c r="V74" s="478">
        <f t="shared" si="53"/>
        <v>87.000000000000014</v>
      </c>
      <c r="W74" s="16"/>
      <c r="X74" s="16"/>
      <c r="Y74" s="16"/>
      <c r="Z74" s="16"/>
      <c r="AA74" s="612"/>
      <c r="AB74" s="612"/>
      <c r="AC74" s="18"/>
      <c r="AD74" s="18"/>
      <c r="AE74" s="14">
        <f t="shared" si="43"/>
        <v>-99.310344827586505</v>
      </c>
      <c r="AF74" s="469">
        <f t="shared" si="50"/>
        <v>0.95862068965517233</v>
      </c>
      <c r="AG74" s="616"/>
    </row>
    <row r="75" spans="1:33" ht="15.75" customHeight="1">
      <c r="A75" s="614" t="s">
        <v>2448</v>
      </c>
      <c r="B75" s="479" t="s">
        <v>20</v>
      </c>
      <c r="C75" s="660" t="s">
        <v>739</v>
      </c>
      <c r="D75" s="660"/>
      <c r="E75" s="27">
        <v>28.29</v>
      </c>
      <c r="F75" s="479">
        <v>3000</v>
      </c>
      <c r="G75" s="466">
        <f t="shared" si="51"/>
        <v>84870</v>
      </c>
      <c r="H75" s="31">
        <v>2</v>
      </c>
      <c r="I75" s="477">
        <v>21</v>
      </c>
      <c r="J75" s="29">
        <v>2400</v>
      </c>
      <c r="K75" s="12">
        <f t="shared" si="45"/>
        <v>114.28571428571429</v>
      </c>
      <c r="L75" s="477">
        <v>21</v>
      </c>
      <c r="M75" s="13">
        <f t="shared" si="52"/>
        <v>2307.692307692309</v>
      </c>
      <c r="N75" s="12">
        <f t="shared" si="46"/>
        <v>109.89010989010995</v>
      </c>
      <c r="O75" s="14">
        <f t="shared" si="47"/>
        <v>0</v>
      </c>
      <c r="P75" s="15">
        <f t="shared" si="48"/>
        <v>-4.3956043956043374</v>
      </c>
      <c r="Q75" s="469">
        <f t="shared" si="49"/>
        <v>0.96153846153846201</v>
      </c>
      <c r="R75" s="616"/>
      <c r="S75" s="32">
        <v>0.36041666666666666</v>
      </c>
      <c r="T75" s="32">
        <v>0.4145833333333333</v>
      </c>
      <c r="U75" s="466">
        <f t="shared" si="54"/>
        <v>6.9999999999999751</v>
      </c>
      <c r="V75" s="478">
        <f t="shared" si="53"/>
        <v>77.999999999999957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-92.307692307691013</v>
      </c>
      <c r="AF75" s="469">
        <f t="shared" si="50"/>
        <v>0.96153846153846212</v>
      </c>
      <c r="AG75" s="616"/>
    </row>
    <row r="76" spans="1:33" ht="15.75" customHeight="1">
      <c r="A76" s="614" t="s">
        <v>2448</v>
      </c>
      <c r="B76" s="479" t="s">
        <v>20</v>
      </c>
      <c r="C76" s="660" t="s">
        <v>1420</v>
      </c>
      <c r="D76" s="660"/>
      <c r="E76" s="27">
        <v>24.25</v>
      </c>
      <c r="F76" s="479">
        <v>4200</v>
      </c>
      <c r="G76" s="466">
        <f t="shared" si="51"/>
        <v>101850</v>
      </c>
      <c r="H76" s="31">
        <v>2</v>
      </c>
      <c r="I76" s="477">
        <v>17</v>
      </c>
      <c r="J76" s="29">
        <v>2400</v>
      </c>
      <c r="K76" s="12">
        <f t="shared" si="45"/>
        <v>141.1764705882353</v>
      </c>
      <c r="L76" s="477">
        <v>17</v>
      </c>
      <c r="M76" s="13">
        <f t="shared" si="52"/>
        <v>2290.909090909091</v>
      </c>
      <c r="N76" s="12">
        <f t="shared" si="46"/>
        <v>134.75935828877004</v>
      </c>
      <c r="O76" s="14">
        <f t="shared" si="47"/>
        <v>0</v>
      </c>
      <c r="P76" s="15">
        <f t="shared" si="48"/>
        <v>-6.4171122994652592</v>
      </c>
      <c r="Q76" s="469">
        <f t="shared" si="49"/>
        <v>0.95454545454545436</v>
      </c>
      <c r="R76" s="616"/>
      <c r="S76" s="32">
        <v>0.42013888888888884</v>
      </c>
      <c r="T76" s="32">
        <v>0.49652777777777773</v>
      </c>
      <c r="U76" s="466">
        <f t="shared" si="54"/>
        <v>7.9999999999999716</v>
      </c>
      <c r="V76" s="478">
        <f t="shared" si="53"/>
        <v>110.00000000000001</v>
      </c>
      <c r="W76" s="16">
        <f>T76</f>
        <v>0.49652777777777773</v>
      </c>
      <c r="X76" s="16">
        <f>S77</f>
        <v>0.53541666666666665</v>
      </c>
      <c r="Y76" s="16"/>
      <c r="Z76" s="16"/>
      <c r="AA76" s="612"/>
      <c r="AB76" s="612"/>
      <c r="AC76" s="18"/>
      <c r="AD76" s="18"/>
      <c r="AE76" s="14">
        <f t="shared" si="43"/>
        <v>-109.09090909090901</v>
      </c>
      <c r="AF76" s="469">
        <f t="shared" si="50"/>
        <v>0.95454545454545459</v>
      </c>
      <c r="AG76" s="616"/>
    </row>
    <row r="77" spans="1:33" ht="15.75" customHeight="1">
      <c r="A77" s="614" t="s">
        <v>2448</v>
      </c>
      <c r="B77" s="479" t="s">
        <v>20</v>
      </c>
      <c r="C77" s="660" t="s">
        <v>39</v>
      </c>
      <c r="D77" s="660"/>
      <c r="E77" s="27">
        <v>19.02</v>
      </c>
      <c r="F77" s="479">
        <v>4863</v>
      </c>
      <c r="G77" s="466">
        <f t="shared" si="51"/>
        <v>92494.26</v>
      </c>
      <c r="H77" s="31" t="s">
        <v>40</v>
      </c>
      <c r="I77" s="477">
        <v>14</v>
      </c>
      <c r="J77" s="29">
        <v>2400</v>
      </c>
      <c r="K77" s="12">
        <f t="shared" si="45"/>
        <v>171.42857142857142</v>
      </c>
      <c r="L77" s="477">
        <v>14</v>
      </c>
      <c r="M77" s="13">
        <f t="shared" si="52"/>
        <v>2297.4803149606296</v>
      </c>
      <c r="N77" s="12">
        <f t="shared" si="46"/>
        <v>164.10573678290211</v>
      </c>
      <c r="O77" s="14">
        <f t="shared" si="47"/>
        <v>0</v>
      </c>
      <c r="P77" s="15">
        <f t="shared" si="48"/>
        <v>-7.3228346456693032</v>
      </c>
      <c r="Q77" s="469">
        <f t="shared" si="49"/>
        <v>0.95728346456692903</v>
      </c>
      <c r="R77" s="616"/>
      <c r="S77" s="32">
        <v>0.53541666666666665</v>
      </c>
      <c r="T77" s="32">
        <v>0.62361111111111112</v>
      </c>
      <c r="U77" s="466">
        <f t="shared" si="54"/>
        <v>56.000000000000043</v>
      </c>
      <c r="V77" s="478">
        <f t="shared" si="53"/>
        <v>127.00000000000003</v>
      </c>
      <c r="W77" s="16"/>
      <c r="X77" s="16"/>
      <c r="Y77" s="16"/>
      <c r="Z77" s="16"/>
      <c r="AA77" s="612"/>
      <c r="AB77" s="612"/>
      <c r="AC77" s="18"/>
      <c r="AD77" s="18"/>
      <c r="AE77" s="14">
        <f t="shared" si="43"/>
        <v>-102.51968503937042</v>
      </c>
      <c r="AF77" s="469">
        <f t="shared" si="50"/>
        <v>0.95728346456692903</v>
      </c>
      <c r="AG77" s="616"/>
    </row>
    <row r="78" spans="1:33" ht="15.75" customHeight="1">
      <c r="A78" s="614" t="s">
        <v>73</v>
      </c>
      <c r="B78" s="479" t="s">
        <v>20</v>
      </c>
      <c r="C78" s="605" t="s">
        <v>1420</v>
      </c>
      <c r="D78" s="606"/>
      <c r="E78" s="27">
        <v>24.25</v>
      </c>
      <c r="F78" s="479">
        <v>3104</v>
      </c>
      <c r="G78" s="466">
        <f t="shared" si="51"/>
        <v>75272</v>
      </c>
      <c r="H78" s="31" t="s">
        <v>40</v>
      </c>
      <c r="I78" s="477">
        <v>17</v>
      </c>
      <c r="J78" s="29">
        <v>2400</v>
      </c>
      <c r="K78" s="12">
        <f t="shared" si="45"/>
        <v>141.1764705882353</v>
      </c>
      <c r="L78" s="477">
        <v>17</v>
      </c>
      <c r="M78" s="13">
        <f t="shared" si="52"/>
        <v>2299.2592592592582</v>
      </c>
      <c r="N78" s="12">
        <f t="shared" si="46"/>
        <v>135.2505446623093</v>
      </c>
      <c r="O78" s="14">
        <f t="shared" si="47"/>
        <v>0</v>
      </c>
      <c r="P78" s="15">
        <f t="shared" si="48"/>
        <v>-5.9259259259260091</v>
      </c>
      <c r="Q78" s="469">
        <f t="shared" si="49"/>
        <v>0.95802469135802415</v>
      </c>
      <c r="R78" s="616"/>
      <c r="S78" s="32">
        <v>0.62708333333333333</v>
      </c>
      <c r="T78" s="32">
        <v>0.68333333333333335</v>
      </c>
      <c r="U78" s="466">
        <f t="shared" si="54"/>
        <v>4.9999999999999822</v>
      </c>
      <c r="V78" s="478">
        <f t="shared" si="53"/>
        <v>81.000000000000028</v>
      </c>
      <c r="W78" s="16"/>
      <c r="X78" s="16"/>
      <c r="Y78" s="19"/>
      <c r="Z78" s="19"/>
      <c r="AA78" s="607"/>
      <c r="AB78" s="608"/>
      <c r="AC78" s="18"/>
      <c r="AD78" s="18"/>
      <c r="AE78" s="14">
        <f t="shared" si="43"/>
        <v>-100.74074074074178</v>
      </c>
      <c r="AF78" s="469">
        <f t="shared" si="50"/>
        <v>0.95802469135802426</v>
      </c>
      <c r="AG78" s="616"/>
    </row>
    <row r="79" spans="1:33" ht="15.75" customHeight="1">
      <c r="A79" s="614" t="s">
        <v>73</v>
      </c>
      <c r="B79" s="479" t="s">
        <v>20</v>
      </c>
      <c r="C79" s="605" t="s">
        <v>739</v>
      </c>
      <c r="D79" s="606"/>
      <c r="E79" s="27">
        <v>28.29</v>
      </c>
      <c r="F79" s="479">
        <v>2257</v>
      </c>
      <c r="G79" s="466">
        <f t="shared" si="51"/>
        <v>63850.53</v>
      </c>
      <c r="H79" s="31" t="s">
        <v>40</v>
      </c>
      <c r="I79" s="477">
        <v>21</v>
      </c>
      <c r="J79" s="29">
        <v>2400</v>
      </c>
      <c r="K79" s="12">
        <f t="shared" si="45"/>
        <v>114.28571428571429</v>
      </c>
      <c r="L79" s="477">
        <v>21</v>
      </c>
      <c r="M79" s="13">
        <f t="shared" si="52"/>
        <v>2295.2542372881376</v>
      </c>
      <c r="N79" s="12">
        <f t="shared" si="46"/>
        <v>109.29782082324465</v>
      </c>
      <c r="O79" s="14">
        <f t="shared" si="47"/>
        <v>0</v>
      </c>
      <c r="P79" s="15">
        <f t="shared" si="48"/>
        <v>-4.9878934624696427</v>
      </c>
      <c r="Q79" s="469">
        <f t="shared" si="49"/>
        <v>0.95635593220339066</v>
      </c>
      <c r="R79" s="616"/>
      <c r="S79" s="32">
        <v>0.68888888888888888</v>
      </c>
      <c r="T79" s="32">
        <v>0.72986111111111107</v>
      </c>
      <c r="U79" s="466">
        <f t="shared" si="54"/>
        <v>7.9999999999999716</v>
      </c>
      <c r="V79" s="478">
        <f t="shared" si="53"/>
        <v>58.99999999999995</v>
      </c>
      <c r="W79" s="16"/>
      <c r="X79" s="16"/>
      <c r="Y79" s="19"/>
      <c r="Z79" s="19"/>
      <c r="AA79" s="607"/>
      <c r="AB79" s="608"/>
      <c r="AC79" s="18"/>
      <c r="AD79" s="18"/>
      <c r="AE79" s="14">
        <f t="shared" si="43"/>
        <v>-104.74576271186243</v>
      </c>
      <c r="AF79" s="469">
        <f t="shared" si="50"/>
        <v>0.95635593220339066</v>
      </c>
      <c r="AG79" s="616"/>
    </row>
    <row r="80" spans="1:33" ht="16.5" customHeight="1">
      <c r="A80" s="615" t="s">
        <v>2448</v>
      </c>
      <c r="B80" s="27" t="s">
        <v>174</v>
      </c>
      <c r="C80" s="609"/>
      <c r="D80" s="610"/>
      <c r="E80" s="470"/>
      <c r="F80" s="28"/>
      <c r="G80" s="12"/>
      <c r="H80" s="479"/>
      <c r="I80" s="21">
        <v>17.25</v>
      </c>
      <c r="J80" s="29">
        <v>2400</v>
      </c>
      <c r="K80" s="12">
        <f t="shared" si="45"/>
        <v>139.13043478260869</v>
      </c>
      <c r="L80" s="21">
        <v>17.25</v>
      </c>
      <c r="M80" s="13">
        <f>AVERAGE(M72:M79)</f>
        <v>2296.2572441356028</v>
      </c>
      <c r="N80" s="12">
        <f t="shared" si="46"/>
        <v>133.11636197887552</v>
      </c>
      <c r="O80" s="14">
        <f t="shared" si="47"/>
        <v>0</v>
      </c>
      <c r="P80" s="15">
        <f t="shared" si="48"/>
        <v>-6.0140728037331712</v>
      </c>
      <c r="Q80" s="469">
        <f t="shared" si="49"/>
        <v>0.95677385172316787</v>
      </c>
      <c r="R80" s="616"/>
      <c r="S80" s="32"/>
      <c r="T80" s="32"/>
      <c r="U80" s="12"/>
      <c r="V80" s="478"/>
      <c r="W80" s="12"/>
      <c r="X80" s="12"/>
      <c r="Y80" s="22">
        <f>SUM(Y72:Y79)</f>
        <v>0</v>
      </c>
      <c r="Z80" s="22">
        <f>SUM(Z72:Z79)</f>
        <v>0</v>
      </c>
      <c r="AA80" s="611"/>
      <c r="AB80" s="611"/>
      <c r="AC80" s="22">
        <v>8</v>
      </c>
      <c r="AD80" s="22">
        <f>SUM(AD72:AD79)</f>
        <v>0</v>
      </c>
      <c r="AE80" s="14">
        <f t="shared" si="43"/>
        <v>-103.74275586439717</v>
      </c>
      <c r="AF80" s="469">
        <f t="shared" si="50"/>
        <v>0.95677385172316787</v>
      </c>
      <c r="AG80" s="616"/>
    </row>
    <row r="81" spans="4:5">
      <c r="D81" s="23"/>
      <c r="E81" s="23"/>
    </row>
  </sheetData>
  <mergeCells count="203"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  <mergeCell ref="AG67:AG71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67:A71"/>
    <mergeCell ref="C67:D67"/>
    <mergeCell ref="R67:R71"/>
    <mergeCell ref="AA67:AB67"/>
    <mergeCell ref="AA61:AB61"/>
    <mergeCell ref="C62:D62"/>
    <mergeCell ref="AA62:AB62"/>
    <mergeCell ref="C63:D63"/>
    <mergeCell ref="AA63:AB63"/>
    <mergeCell ref="C64:D64"/>
    <mergeCell ref="AA64:AB64"/>
    <mergeCell ref="A57:A66"/>
    <mergeCell ref="C57:D57"/>
    <mergeCell ref="R57:R66"/>
    <mergeCell ref="AA57:AB57"/>
    <mergeCell ref="AG57:AG66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A66:AB66"/>
    <mergeCell ref="A52:A56"/>
    <mergeCell ref="C52:D52"/>
    <mergeCell ref="R52:R56"/>
    <mergeCell ref="AA52:AB52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43:A51"/>
    <mergeCell ref="C43:D43"/>
    <mergeCell ref="R43:R51"/>
    <mergeCell ref="AA43:AB43"/>
    <mergeCell ref="AA48:AB48"/>
    <mergeCell ref="C49:D49"/>
    <mergeCell ref="AA49:AB49"/>
    <mergeCell ref="C50:D50"/>
    <mergeCell ref="AA50:AB50"/>
    <mergeCell ref="C51:D51"/>
    <mergeCell ref="AA51:AB51"/>
    <mergeCell ref="A34:A42"/>
    <mergeCell ref="C34:D34"/>
    <mergeCell ref="R34:R42"/>
    <mergeCell ref="AA34:AB34"/>
    <mergeCell ref="AA39:AB39"/>
    <mergeCell ref="C40:D40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AA42:AB42"/>
    <mergeCell ref="AG26:AG33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C32:D32"/>
    <mergeCell ref="AA32:AB32"/>
    <mergeCell ref="C33:D33"/>
    <mergeCell ref="AA33:AB33"/>
    <mergeCell ref="A26:A33"/>
    <mergeCell ref="C26:D26"/>
    <mergeCell ref="R26:R33"/>
    <mergeCell ref="AA26:AB26"/>
    <mergeCell ref="AA31:AB31"/>
    <mergeCell ref="A17:A25"/>
    <mergeCell ref="C17:D17"/>
    <mergeCell ref="R17:R25"/>
    <mergeCell ref="AA17:AB17"/>
    <mergeCell ref="AG17:AG25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5:D25"/>
    <mergeCell ref="AA25:AB25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70:O77 O66:O67 O80 O5:O10 O16:O18 O25:O62">
    <cfRule type="cellIs" dxfId="1865" priority="73" operator="greaterThan">
      <formula>0</formula>
    </cfRule>
  </conditionalFormatting>
  <conditionalFormatting sqref="P5:P8 P70 AE70 P72:P77 P34:P41 P67 P10 P16:P18 P26:P32 P57:P62 P43:P55 AE5:AE67 AE72:AE80">
    <cfRule type="cellIs" dxfId="1864" priority="77" operator="lessThan">
      <formula>0</formula>
    </cfRule>
  </conditionalFormatting>
  <conditionalFormatting sqref="AF70 Q70:Q77 Q66:Q67 Q80 Q5:Q10 Q16:Q18 Q25:Q62 AF5:AF67 AF72:AF80">
    <cfRule type="cellIs" dxfId="1863" priority="74" operator="greaterThan">
      <formula>1</formula>
    </cfRule>
    <cfRule type="cellIs" dxfId="1862" priority="75" operator="lessThan">
      <formula>0.8</formula>
    </cfRule>
  </conditionalFormatting>
  <conditionalFormatting sqref="AG17:AG18 R17:R18 AG70 R70:R77 R25:R31 AG25:AG31 AG66:AG67 R66:R67 R80 AG5:AG10 R5:R10 AG33:AG62 R33:R62">
    <cfRule type="cellIs" dxfId="1861" priority="79" operator="lessThan">
      <formula>0.8</formula>
    </cfRule>
  </conditionalFormatting>
  <conditionalFormatting sqref="AG52">
    <cfRule type="cellIs" dxfId="1860" priority="81" operator="lessThan">
      <formula>0.8</formula>
    </cfRule>
  </conditionalFormatting>
  <conditionalFormatting sqref="AG26:AG31">
    <cfRule type="cellIs" dxfId="1859" priority="78" operator="lessThan">
      <formula>0.8</formula>
    </cfRule>
  </conditionalFormatting>
  <conditionalFormatting sqref="AG34">
    <cfRule type="cellIs" dxfId="1858" priority="80" operator="lessThan">
      <formula>0.8</formula>
    </cfRule>
  </conditionalFormatting>
  <conditionalFormatting sqref="AG43:AG50">
    <cfRule type="cellIs" dxfId="1857" priority="76" operator="lessThan">
      <formula>0.8</formula>
    </cfRule>
  </conditionalFormatting>
  <conditionalFormatting sqref="AE71">
    <cfRule type="cellIs" dxfId="1856" priority="72" operator="lessThan">
      <formula>0</formula>
    </cfRule>
  </conditionalFormatting>
  <conditionalFormatting sqref="AF71">
    <cfRule type="cellIs" dxfId="1855" priority="70" operator="greaterThan">
      <formula>1</formula>
    </cfRule>
    <cfRule type="cellIs" dxfId="1854" priority="71" operator="lessThan">
      <formula>0.8</formula>
    </cfRule>
  </conditionalFormatting>
  <conditionalFormatting sqref="O19:O20">
    <cfRule type="cellIs" dxfId="1853" priority="65" operator="greaterThan">
      <formula>0</formula>
    </cfRule>
  </conditionalFormatting>
  <conditionalFormatting sqref="P19:P20">
    <cfRule type="cellIs" dxfId="1852" priority="68" operator="lessThan">
      <formula>0</formula>
    </cfRule>
  </conditionalFormatting>
  <conditionalFormatting sqref="Q19:Q20">
    <cfRule type="cellIs" dxfId="1851" priority="66" operator="greaterThan">
      <formula>1</formula>
    </cfRule>
    <cfRule type="cellIs" dxfId="1850" priority="67" operator="lessThan">
      <formula>0.8</formula>
    </cfRule>
  </conditionalFormatting>
  <conditionalFormatting sqref="R19:R20 AG19:AG20">
    <cfRule type="cellIs" dxfId="1849" priority="69" operator="lessThan">
      <formula>0.8</formula>
    </cfRule>
  </conditionalFormatting>
  <conditionalFormatting sqref="O11:O15">
    <cfRule type="cellIs" dxfId="1848" priority="61" operator="greaterThan">
      <formula>0</formula>
    </cfRule>
  </conditionalFormatting>
  <conditionalFormatting sqref="P11:P15">
    <cfRule type="cellIs" dxfId="1847" priority="64" operator="lessThan">
      <formula>0</formula>
    </cfRule>
  </conditionalFormatting>
  <conditionalFormatting sqref="Q11:Q15">
    <cfRule type="cellIs" dxfId="1846" priority="62" operator="greaterThan">
      <formula>1</formula>
    </cfRule>
    <cfRule type="cellIs" dxfId="1845" priority="63" operator="lessThan">
      <formula>0.8</formula>
    </cfRule>
  </conditionalFormatting>
  <conditionalFormatting sqref="O63">
    <cfRule type="cellIs" dxfId="1844" priority="56" operator="greaterThan">
      <formula>0</formula>
    </cfRule>
  </conditionalFormatting>
  <conditionalFormatting sqref="P63">
    <cfRule type="cellIs" dxfId="1843" priority="59" operator="lessThan">
      <formula>0</formula>
    </cfRule>
  </conditionalFormatting>
  <conditionalFormatting sqref="Q63">
    <cfRule type="cellIs" dxfId="1842" priority="57" operator="greaterThan">
      <formula>1</formula>
    </cfRule>
    <cfRule type="cellIs" dxfId="1841" priority="58" operator="lessThan">
      <formula>0.8</formula>
    </cfRule>
  </conditionalFormatting>
  <conditionalFormatting sqref="R63 AG63">
    <cfRule type="cellIs" dxfId="1840" priority="60" operator="lessThan">
      <formula>0.8</formula>
    </cfRule>
  </conditionalFormatting>
  <conditionalFormatting sqref="O69">
    <cfRule type="cellIs" dxfId="1839" priority="51" operator="greaterThan">
      <formula>0</formula>
    </cfRule>
  </conditionalFormatting>
  <conditionalFormatting sqref="P69 AE69">
    <cfRule type="cellIs" dxfId="1838" priority="54" operator="lessThan">
      <formula>0</formula>
    </cfRule>
  </conditionalFormatting>
  <conditionalFormatting sqref="Q69 AF69">
    <cfRule type="cellIs" dxfId="1837" priority="52" operator="greaterThan">
      <formula>1</formula>
    </cfRule>
    <cfRule type="cellIs" dxfId="1836" priority="53" operator="lessThan">
      <formula>0.8</formula>
    </cfRule>
  </conditionalFormatting>
  <conditionalFormatting sqref="R69 AG69">
    <cfRule type="cellIs" dxfId="1835" priority="55" operator="lessThan">
      <formula>0.8</formula>
    </cfRule>
  </conditionalFormatting>
  <conditionalFormatting sqref="O78">
    <cfRule type="cellIs" dxfId="1834" priority="46" operator="greaterThan">
      <formula>0</formula>
    </cfRule>
  </conditionalFormatting>
  <conditionalFormatting sqref="P78">
    <cfRule type="cellIs" dxfId="1833" priority="49" operator="lessThan">
      <formula>0</formula>
    </cfRule>
  </conditionalFormatting>
  <conditionalFormatting sqref="Q78">
    <cfRule type="cellIs" dxfId="1832" priority="47" operator="greaterThan">
      <formula>1</formula>
    </cfRule>
    <cfRule type="cellIs" dxfId="1831" priority="48" operator="lessThan">
      <formula>0.8</formula>
    </cfRule>
  </conditionalFormatting>
  <conditionalFormatting sqref="R78">
    <cfRule type="cellIs" dxfId="1830" priority="50" operator="lessThan">
      <formula>0.8</formula>
    </cfRule>
  </conditionalFormatting>
  <conditionalFormatting sqref="O21:O22">
    <cfRule type="cellIs" dxfId="1829" priority="41" operator="greaterThan">
      <formula>0</formula>
    </cfRule>
  </conditionalFormatting>
  <conditionalFormatting sqref="P21:P22">
    <cfRule type="cellIs" dxfId="1828" priority="44" operator="lessThan">
      <formula>0</formula>
    </cfRule>
  </conditionalFormatting>
  <conditionalFormatting sqref="Q21:Q22">
    <cfRule type="cellIs" dxfId="1827" priority="42" operator="greaterThan">
      <formula>1</formula>
    </cfRule>
    <cfRule type="cellIs" dxfId="1826" priority="43" operator="lessThan">
      <formula>0.8</formula>
    </cfRule>
  </conditionalFormatting>
  <conditionalFormatting sqref="R21:R22 AG21:AG22">
    <cfRule type="cellIs" dxfId="1825" priority="45" operator="lessThan">
      <formula>0.8</formula>
    </cfRule>
  </conditionalFormatting>
  <conditionalFormatting sqref="O64">
    <cfRule type="cellIs" dxfId="1824" priority="36" operator="greaterThan">
      <formula>0</formula>
    </cfRule>
  </conditionalFormatting>
  <conditionalFormatting sqref="P64">
    <cfRule type="cellIs" dxfId="1823" priority="39" operator="lessThan">
      <formula>0</formula>
    </cfRule>
  </conditionalFormatting>
  <conditionalFormatting sqref="Q64">
    <cfRule type="cellIs" dxfId="1822" priority="37" operator="greaterThan">
      <formula>1</formula>
    </cfRule>
    <cfRule type="cellIs" dxfId="1821" priority="38" operator="lessThan">
      <formula>0.8</formula>
    </cfRule>
  </conditionalFormatting>
  <conditionalFormatting sqref="AG64 R64">
    <cfRule type="cellIs" dxfId="1820" priority="40" operator="lessThan">
      <formula>0.8</formula>
    </cfRule>
  </conditionalFormatting>
  <conditionalFormatting sqref="R32 AG32">
    <cfRule type="cellIs" dxfId="1819" priority="35" operator="lessThan">
      <formula>0.8</formula>
    </cfRule>
  </conditionalFormatting>
  <conditionalFormatting sqref="AG32">
    <cfRule type="cellIs" dxfId="1818" priority="34" operator="lessThan">
      <formula>0.8</formula>
    </cfRule>
  </conditionalFormatting>
  <conditionalFormatting sqref="O68">
    <cfRule type="cellIs" dxfId="1817" priority="29" operator="greaterThan">
      <formula>0</formula>
    </cfRule>
  </conditionalFormatting>
  <conditionalFormatting sqref="P68 AE68">
    <cfRule type="cellIs" dxfId="1816" priority="32" operator="lessThan">
      <formula>0</formula>
    </cfRule>
  </conditionalFormatting>
  <conditionalFormatting sqref="Q68 AF68">
    <cfRule type="cellIs" dxfId="1815" priority="30" operator="greaterThan">
      <formula>1</formula>
    </cfRule>
    <cfRule type="cellIs" dxfId="1814" priority="31" operator="lessThan">
      <formula>0.8</formula>
    </cfRule>
  </conditionalFormatting>
  <conditionalFormatting sqref="R68 AG68">
    <cfRule type="cellIs" dxfId="1813" priority="33" operator="lessThan">
      <formula>0.8</formula>
    </cfRule>
  </conditionalFormatting>
  <conditionalFormatting sqref="O23">
    <cfRule type="cellIs" dxfId="1812" priority="24" operator="greaterThan">
      <formula>0</formula>
    </cfRule>
  </conditionalFormatting>
  <conditionalFormatting sqref="P23">
    <cfRule type="cellIs" dxfId="1811" priority="27" operator="lessThan">
      <formula>0</formula>
    </cfRule>
  </conditionalFormatting>
  <conditionalFormatting sqref="Q23">
    <cfRule type="cellIs" dxfId="1810" priority="25" operator="greaterThan">
      <formula>1</formula>
    </cfRule>
    <cfRule type="cellIs" dxfId="1809" priority="26" operator="lessThan">
      <formula>0.8</formula>
    </cfRule>
  </conditionalFormatting>
  <conditionalFormatting sqref="AG23 R23">
    <cfRule type="cellIs" dxfId="1808" priority="28" operator="lessThan">
      <formula>0.8</formula>
    </cfRule>
  </conditionalFormatting>
  <conditionalFormatting sqref="O24">
    <cfRule type="cellIs" dxfId="1807" priority="19" operator="greaterThan">
      <formula>0</formula>
    </cfRule>
  </conditionalFormatting>
  <conditionalFormatting sqref="P24">
    <cfRule type="cellIs" dxfId="1806" priority="22" operator="lessThan">
      <formula>0</formula>
    </cfRule>
  </conditionalFormatting>
  <conditionalFormatting sqref="Q24">
    <cfRule type="cellIs" dxfId="1805" priority="20" operator="greaterThan">
      <formula>1</formula>
    </cfRule>
    <cfRule type="cellIs" dxfId="1804" priority="21" operator="lessThan">
      <formula>0.8</formula>
    </cfRule>
  </conditionalFormatting>
  <conditionalFormatting sqref="AG24 R24">
    <cfRule type="cellIs" dxfId="1803" priority="23" operator="lessThan">
      <formula>0.8</formula>
    </cfRule>
  </conditionalFormatting>
  <conditionalFormatting sqref="P9">
    <cfRule type="cellIs" dxfId="1802" priority="18" operator="lessThan">
      <formula>0</formula>
    </cfRule>
  </conditionalFormatting>
  <conditionalFormatting sqref="P25">
    <cfRule type="cellIs" dxfId="1801" priority="17" operator="lessThan">
      <formula>0</formula>
    </cfRule>
  </conditionalFormatting>
  <conditionalFormatting sqref="P33">
    <cfRule type="cellIs" dxfId="1800" priority="16" operator="lessThan">
      <formula>0</formula>
    </cfRule>
  </conditionalFormatting>
  <conditionalFormatting sqref="P42">
    <cfRule type="cellIs" dxfId="1799" priority="15" operator="lessThan">
      <formula>0</formula>
    </cfRule>
  </conditionalFormatting>
  <conditionalFormatting sqref="P56">
    <cfRule type="cellIs" dxfId="1798" priority="14" operator="lessThan">
      <formula>0</formula>
    </cfRule>
  </conditionalFormatting>
  <conditionalFormatting sqref="P66">
    <cfRule type="cellIs" dxfId="1797" priority="13" operator="lessThan">
      <formula>0</formula>
    </cfRule>
  </conditionalFormatting>
  <conditionalFormatting sqref="P71">
    <cfRule type="cellIs" dxfId="1796" priority="12" operator="lessThan">
      <formula>0</formula>
    </cfRule>
  </conditionalFormatting>
  <conditionalFormatting sqref="P80">
    <cfRule type="cellIs" dxfId="1795" priority="11" operator="lessThan">
      <formula>0</formula>
    </cfRule>
  </conditionalFormatting>
  <conditionalFormatting sqref="O79">
    <cfRule type="cellIs" dxfId="1794" priority="6" operator="greaterThan">
      <formula>0</formula>
    </cfRule>
  </conditionalFormatting>
  <conditionalFormatting sqref="P79">
    <cfRule type="cellIs" dxfId="1793" priority="9" operator="lessThan">
      <formula>0</formula>
    </cfRule>
  </conditionalFormatting>
  <conditionalFormatting sqref="Q79">
    <cfRule type="cellIs" dxfId="1792" priority="7" operator="greaterThan">
      <formula>1</formula>
    </cfRule>
    <cfRule type="cellIs" dxfId="1791" priority="8" operator="lessThan">
      <formula>0.8</formula>
    </cfRule>
  </conditionalFormatting>
  <conditionalFormatting sqref="R79">
    <cfRule type="cellIs" dxfId="1790" priority="10" operator="lessThan">
      <formula>0.8</formula>
    </cfRule>
  </conditionalFormatting>
  <conditionalFormatting sqref="O65">
    <cfRule type="cellIs" dxfId="1789" priority="1" operator="greaterThan">
      <formula>0</formula>
    </cfRule>
  </conditionalFormatting>
  <conditionalFormatting sqref="P65">
    <cfRule type="cellIs" dxfId="1788" priority="4" operator="lessThan">
      <formula>0</formula>
    </cfRule>
  </conditionalFormatting>
  <conditionalFormatting sqref="Q65">
    <cfRule type="cellIs" dxfId="1787" priority="2" operator="greaterThan">
      <formula>1</formula>
    </cfRule>
    <cfRule type="cellIs" dxfId="1786" priority="3" operator="lessThan">
      <formula>0.8</formula>
    </cfRule>
  </conditionalFormatting>
  <conditionalFormatting sqref="AG65 R65">
    <cfRule type="cellIs" dxfId="1785" priority="5" operator="lessThan">
      <formula>0.8</formula>
    </cfRule>
  </conditionalFormatting>
  <dataValidations count="1">
    <dataValidation type="list" allowBlank="1" showInputMessage="1" showErrorMessage="1" sqref="AB9 AA5:AB8 AA9:AA70 AB11:AB67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T7" sqref="T7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2333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2334</v>
      </c>
      <c r="C3" s="594" t="str">
        <f>TEXT('0726 4度C'!A2,"yyyy.mm.ddaaaa")</f>
        <v>2026.07.26星期日</v>
      </c>
      <c r="D3" s="595"/>
      <c r="E3" s="36" t="s">
        <v>2335</v>
      </c>
      <c r="F3" s="596">
        <f>'0726 4度C'!D1</f>
        <v>198781</v>
      </c>
      <c r="G3" s="597"/>
      <c r="H3" s="36" t="s">
        <v>2336</v>
      </c>
      <c r="I3" s="598">
        <f>'0726 4度C'!F1</f>
        <v>6850152.4299999988</v>
      </c>
      <c r="J3" s="599"/>
      <c r="K3" s="37"/>
      <c r="L3" s="38"/>
      <c r="M3" s="39"/>
      <c r="N3" s="39"/>
    </row>
    <row r="4" spans="2:17" ht="28.5" customHeight="1">
      <c r="B4" s="600" t="s">
        <v>88</v>
      </c>
      <c r="C4" s="586" t="s">
        <v>2337</v>
      </c>
      <c r="D4" s="587"/>
      <c r="E4" s="603" t="s">
        <v>2338</v>
      </c>
      <c r="F4" s="604"/>
      <c r="G4" s="603" t="s">
        <v>2339</v>
      </c>
      <c r="H4" s="604"/>
      <c r="I4" s="603" t="s">
        <v>2340</v>
      </c>
      <c r="J4" s="604"/>
      <c r="K4" s="584" t="s">
        <v>2341</v>
      </c>
      <c r="L4" s="585"/>
      <c r="M4" s="585" t="s">
        <v>2342</v>
      </c>
      <c r="N4" s="585"/>
    </row>
    <row r="5" spans="2:17" ht="28.5" customHeight="1">
      <c r="B5" s="601"/>
      <c r="C5" s="586" t="s">
        <v>2343</v>
      </c>
      <c r="D5" s="587"/>
      <c r="E5" s="586" t="s">
        <v>2344</v>
      </c>
      <c r="F5" s="587"/>
      <c r="G5" s="588" t="s">
        <v>2345</v>
      </c>
      <c r="H5" s="589"/>
      <c r="I5" s="590" t="s">
        <v>2346</v>
      </c>
      <c r="J5" s="591"/>
      <c r="K5" s="40" t="s">
        <v>2347</v>
      </c>
      <c r="L5" s="41" t="s">
        <v>2348</v>
      </c>
      <c r="M5" s="40" t="s">
        <v>2347</v>
      </c>
      <c r="N5" s="41" t="s">
        <v>2349</v>
      </c>
    </row>
    <row r="6" spans="2:17" ht="28.5" customHeight="1">
      <c r="B6" s="601"/>
      <c r="C6" s="586" t="s">
        <v>41</v>
      </c>
      <c r="D6" s="587"/>
      <c r="E6" s="578">
        <f>AVERAGE(D13:M13)</f>
        <v>156.23944127544178</v>
      </c>
      <c r="F6" s="579">
        <f>AVERAGE(D31:O31,D13:J13)</f>
        <v>165.77240501638087</v>
      </c>
      <c r="G6" s="580">
        <f>AVERAGE(D13:J13)</f>
        <v>165.77240501638087</v>
      </c>
      <c r="H6" s="581"/>
      <c r="I6" s="580">
        <f>AVERAGE(K13:M13)</f>
        <v>133.9958592132505</v>
      </c>
      <c r="J6" s="581"/>
      <c r="K6" s="582">
        <f>'0726 4度C'!Y2</f>
        <v>0</v>
      </c>
      <c r="L6" s="567">
        <f>'0726 4度C'!Z2</f>
        <v>0</v>
      </c>
      <c r="M6" s="583">
        <f>'0726 4度C'!AC2</f>
        <v>66</v>
      </c>
      <c r="N6" s="567">
        <f>'0726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149.65409002914515</v>
      </c>
      <c r="F7" s="571">
        <f>AVERAGE(D32:O32,D14:J14)</f>
        <v>158.87177556925326</v>
      </c>
      <c r="G7" s="572">
        <f>AVERAGE(D14:J14)</f>
        <v>158.87177556925326</v>
      </c>
      <c r="H7" s="573"/>
      <c r="I7" s="572">
        <f>AVERAGE(K14:M14)</f>
        <v>128.1461571022262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0.95810511520182562</v>
      </c>
      <c r="F8" s="575">
        <f>AVERAGE(D15:J15,D33:O33)</f>
        <v>0.95886348019074152</v>
      </c>
      <c r="G8" s="576">
        <f>AVERAGE(D15:J15)</f>
        <v>0.95886348019074152</v>
      </c>
      <c r="H8" s="577"/>
      <c r="I8" s="576">
        <f>AVERAGE(K15:M15)</f>
        <v>0.9563355968943551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2350</v>
      </c>
      <c r="N9" s="39"/>
      <c r="O9" s="39"/>
      <c r="P9" s="39"/>
      <c r="Q9" s="39"/>
    </row>
    <row r="10" spans="2:17" ht="30" customHeight="1">
      <c r="B10" s="550" t="s">
        <v>2351</v>
      </c>
      <c r="C10" s="551"/>
      <c r="D10" s="552" t="s">
        <v>2352</v>
      </c>
      <c r="E10" s="553"/>
      <c r="F10" s="553"/>
      <c r="G10" s="553"/>
      <c r="H10" s="553"/>
      <c r="I10" s="553"/>
      <c r="J10" s="554"/>
      <c r="K10" s="555" t="s">
        <v>105</v>
      </c>
      <c r="L10" s="556"/>
      <c r="M10" s="557"/>
      <c r="P10" s="45"/>
      <c r="Q10" s="45"/>
    </row>
    <row r="11" spans="2:17" ht="17.25" customHeight="1">
      <c r="B11" s="558" t="s">
        <v>2353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2354</v>
      </c>
      <c r="C13" s="52" t="s">
        <v>400</v>
      </c>
      <c r="D13" s="53">
        <f>SUMIFS('0726 4度C'!$K:$K,'0726 4度C'!$A:$A,"新豐6線",'0726 4度C'!$B:$B,"平均")</f>
        <v>129.03225806451613</v>
      </c>
      <c r="E13" s="54">
        <f>SUMIFS('0726 4度C'!$K:$K,'0726 4度C'!$A:$A,"新豐2線",'0726 4度C'!$B:$B,"平均")</f>
        <v>84.905660377358487</v>
      </c>
      <c r="F13" s="55">
        <f>SUMIFS('0726 4度C'!$K:$K,'0726 4度C'!$A:$A,"新豐5線",'0726 4度C'!$B:$B,"平均")</f>
        <v>90.604026845637577</v>
      </c>
      <c r="G13" s="55">
        <f>SUMIFS('0726 4度C'!$K:$K,'0726 4度C'!$A:$A,"新豐7線",'0726 4度C'!$B:$B,"平均")</f>
        <v>127.27272727272728</v>
      </c>
      <c r="H13" s="55">
        <f>SUMIFS('0726 4度C'!$K:$K,'0726 4度C'!$A:$A,"新豐3線",'0726 4度C'!$B:$B,"平均")</f>
        <v>307.69230769230768</v>
      </c>
      <c r="I13" s="55">
        <f>SUMIFS('0726 4度C'!$K:$K,'0726 4度C'!$A:$A,"新豐1線",'0726 4度C'!$B:$B,"平均")</f>
        <v>113.20754716981131</v>
      </c>
      <c r="J13" s="56">
        <f>SUMIFS('0726 4度C'!$K:$K,'0726 4度C'!$A:$A,"新豐10線",'0726 4度C'!$B:$B,"平均")</f>
        <v>307.69230769230768</v>
      </c>
      <c r="K13" s="57">
        <f>SUMIFS('0726 4度C'!$K:$K,'0726 4度C'!$A:$A,"新豐8線",'0726 4度C'!$B:$B,"平均")</f>
        <v>137.14285714285714</v>
      </c>
      <c r="L13" s="58">
        <f>SUMIFS('0726 4度C'!$K:$K,'0726 4度C'!$A:$A,"新豐9線",'0726 4度C'!$B:$B,"平均")</f>
        <v>125.71428571428571</v>
      </c>
      <c r="M13" s="56">
        <f>SUMIFS('0726 4度C'!$K:$K,'0726 4度C'!$A:$A,"新豐4線",'0726 4度C'!$B:$B,"平均")</f>
        <v>139.13043478260869</v>
      </c>
    </row>
    <row r="14" spans="2:17" ht="39.6" customHeight="1">
      <c r="B14" s="563"/>
      <c r="C14" s="59" t="s">
        <v>2355</v>
      </c>
      <c r="D14" s="60">
        <f>SUMIFS('0726 4度C'!$N:$N,'0726 4度C'!$A:$A,"新豐6線",'0726 4度C'!$B:$B,"平均")</f>
        <v>124.44263341376025</v>
      </c>
      <c r="E14" s="61">
        <f>SUMIFS('0726 4度C'!$N:$N,'0726 4度C'!$A:$A,"新豐2線",'0726 4度C'!$B:$B,"平均")</f>
        <v>81.079831442077975</v>
      </c>
      <c r="F14" s="61">
        <f>SUMIFS('0726 4度C'!$N:$N,'0726 4度C'!$A:$A,"新豐5線",'0726 4度C'!$B:$B,"平均")</f>
        <v>86.736971457496196</v>
      </c>
      <c r="G14" s="61">
        <f>SUMIFS('0726 4度C'!$N:$N,'0726 4度C'!$A:$A,"新豐7線",'0726 4度C'!$B:$B,"平均")</f>
        <v>122.42327034996765</v>
      </c>
      <c r="H14" s="61">
        <f>SUMIFS('0726 4度C'!$N:$N,'0726 4度C'!$A:$A,"新豐3線",'0726 4度C'!$B:$B,"平均")</f>
        <v>292.86374188755883</v>
      </c>
      <c r="I14" s="61">
        <f>SUMIFS('0726 4度C'!$N:$N,'0726 4度C'!$A:$A,"新豐1線",'0726 4度C'!$B:$B,"平均")</f>
        <v>108.6883571129853</v>
      </c>
      <c r="J14" s="62">
        <f>SUMIFS('0726 4度C'!$N:$N,'0726 4度C'!$A:$A,"新豐10線",'0726 4度C'!$B:$B,"平均")</f>
        <v>295.86762332092655</v>
      </c>
      <c r="K14" s="63">
        <f>SUMIFS('0726 4度C'!$N:$N,'0726 4度C'!$A:$A,"新豐8線",'0726 4度C'!$B:$B,"平均")</f>
        <v>131.12931599403774</v>
      </c>
      <c r="L14" s="64">
        <f>SUMIFS('0726 4度C'!$N:$N,'0726 4度C'!$A:$A,"新豐9線",'0726 4度C'!$B:$B,"平均")</f>
        <v>120.19623331392879</v>
      </c>
      <c r="M14" s="62">
        <f>SUMIFS('0726 4度C'!$N:$N,'0726 4度C'!$A:$A,"新豐4線",'0726 4度C'!$B:$B,"平均")</f>
        <v>133.11292199871204</v>
      </c>
    </row>
    <row r="15" spans="2:17" ht="40.15" customHeight="1">
      <c r="B15" s="564"/>
      <c r="C15" s="65" t="s">
        <v>2356</v>
      </c>
      <c r="D15" s="66">
        <f t="shared" ref="D15:M15" si="0">D14/D13</f>
        <v>0.96443040895664189</v>
      </c>
      <c r="E15" s="67">
        <f t="shared" si="0"/>
        <v>0.95494023698447394</v>
      </c>
      <c r="F15" s="67">
        <f t="shared" si="0"/>
        <v>0.95731916645680992</v>
      </c>
      <c r="G15" s="67">
        <f t="shared" si="0"/>
        <v>0.96189712417831719</v>
      </c>
      <c r="H15" s="67">
        <f t="shared" si="0"/>
        <v>0.9518071611345662</v>
      </c>
      <c r="I15" s="67">
        <f t="shared" si="0"/>
        <v>0.96008048783137023</v>
      </c>
      <c r="J15" s="68">
        <f t="shared" si="0"/>
        <v>0.96156977579301139</v>
      </c>
      <c r="K15" s="66">
        <f t="shared" si="0"/>
        <v>0.95615126245652526</v>
      </c>
      <c r="L15" s="67">
        <f t="shared" si="0"/>
        <v>0.95610640136079716</v>
      </c>
      <c r="M15" s="68">
        <f t="shared" si="0"/>
        <v>0.95674912686574287</v>
      </c>
    </row>
    <row r="16" spans="2:17" ht="17.25" customHeight="1">
      <c r="B16" s="565" t="s">
        <v>2357</v>
      </c>
      <c r="C16" s="69" t="s">
        <v>2358</v>
      </c>
      <c r="D16" s="70">
        <f>VLOOKUP("新豐6線",'0726 4度C'!$A:$T,19,0)</f>
        <v>0.70833333333333337</v>
      </c>
      <c r="E16" s="71">
        <f>VLOOKUP("新豐2線",'0726 4度C'!$A:$T,19,0)</f>
        <v>8.3333333333333329E-2</v>
      </c>
      <c r="F16" s="71">
        <f>VLOOKUP("新豐5線",'0726 4度C'!$A:$T,19,0)</f>
        <v>8.3333333333333329E-2</v>
      </c>
      <c r="G16" s="71">
        <f>VLOOKUP("新豐7線",'0726 4度C'!$A:$T,19,0)</f>
        <v>0.20833333333333334</v>
      </c>
      <c r="H16" s="71">
        <f>VLOOKUP("新豐3線",'0726 4度C'!$A:$T,19,0)</f>
        <v>0.20833333333333334</v>
      </c>
      <c r="I16" s="71">
        <f>VLOOKUP("新豐1線",'0726 4度C'!$A:$T,19,0)</f>
        <v>0.20833333333333334</v>
      </c>
      <c r="J16" s="72">
        <f>VLOOKUP("新豐10線",'0726 4度C'!$A:$T,19,0)</f>
        <v>0.20833333333333334</v>
      </c>
      <c r="K16" s="73">
        <f>VLOOKUP("新豐8線",'0726 4度C'!$A:$T,19,0)</f>
        <v>8.3333333333333329E-2</v>
      </c>
      <c r="L16" s="74">
        <f>VLOOKUP("新豐9線",'0726 4度C'!$A:$T,19,0)</f>
        <v>8.3333333333333329E-2</v>
      </c>
      <c r="M16" s="75">
        <f>VLOOKUP("新豐4線",'0726 4度C'!$A:$T,19,0)</f>
        <v>8.3333333333333329E-2</v>
      </c>
    </row>
    <row r="17" spans="2:13" ht="17.25" customHeight="1">
      <c r="B17" s="566"/>
      <c r="C17" s="69" t="s">
        <v>2359</v>
      </c>
      <c r="D17" s="73">
        <f>LOOKUP(2,1/(('0726 4度C'!$A:$A="新豐6線")*('0726 4度C'!$T:$T&lt;&gt;"")),'0726 4度C'!$T:$T)</f>
        <v>0.90625</v>
      </c>
      <c r="E17" s="71">
        <f>LOOKUP(2,1/(('0726 4度C'!$A:$A="新豐2線")*('0726 4度C'!$T:$T&lt;&gt;"")),'0726 4度C'!$T:$T)</f>
        <v>0.70138888888888873</v>
      </c>
      <c r="F17" s="71">
        <f>LOOKUP(2,1/(('0726 4度C'!$A:$A="新豐5線")*('0726 4度C'!$T:$T&lt;&gt;"")),'0726 4度C'!$T:$T)</f>
        <v>0.91111111111111098</v>
      </c>
      <c r="G17" s="71">
        <f>LOOKUP(2,1/(('0726 4度C'!$A:$A="新豐7線")*('0726 4度C'!$T:$T&lt;&gt;"")),'0726 4度C'!$T:$T)</f>
        <v>0.91527777777777775</v>
      </c>
      <c r="H17" s="71">
        <f>LOOKUP(2,1/(('0726 4度C'!$A:$A="新豐3線")*('0726 4度C'!$T:$T&lt;&gt;"")),'0726 4度C'!$T:$T)</f>
        <v>0.47361111111111104</v>
      </c>
      <c r="I17" s="71">
        <f>LOOKUP(2,1/(('0726 4度C'!$A:$A="新豐1線")*('0726 4度C'!$T:$T&lt;&gt;"")),'0726 4度C'!$T:$T)</f>
        <v>0.93819444444444444</v>
      </c>
      <c r="J17" s="72">
        <f>LOOKUP(2,1/(('0726 4度C'!$A:$A="新豐10線")*('0726 4度C'!$T:$T&lt;&gt;"")),'0726 4度C'!$T:$T)</f>
        <v>0.38541666666666663</v>
      </c>
      <c r="K17" s="70">
        <f>LOOKUP(2,1/(('0726 4度C'!$A:$A="新豐8線")*('0726 4度C'!$T:$T&lt;&gt;"")),'0726 4度C'!$T:$T)</f>
        <v>0.75624999999999998</v>
      </c>
      <c r="L17" s="71">
        <f>LOOKUP(2,1/(('0726 4度C'!$A:$A="新豐9線")*('0726 4度C'!$T:$T&lt;&gt;"")),'0726 4度C'!$T:$T)</f>
        <v>0.76388888888888884</v>
      </c>
      <c r="M17" s="72">
        <f>LOOKUP(2,1/(('0726 4度C'!$A:$A="新豐4線")*('0726 4度C'!$T:$T&lt;&gt;"")),'0726 4度C'!$T:$T)</f>
        <v>0.75208333333333321</v>
      </c>
    </row>
    <row r="18" spans="2:13" ht="17.25" customHeight="1">
      <c r="B18" s="544" t="s">
        <v>2360</v>
      </c>
      <c r="C18" s="76" t="s">
        <v>2361</v>
      </c>
      <c r="D18" s="77">
        <f>SUMIFS('0726 4度C'!$Y:$Y,'0726 4度C'!$A:$A,"新豐6線",'0726 4度C'!$B:$B,"平均")</f>
        <v>0</v>
      </c>
      <c r="E18" s="78">
        <f>SUMIFS('0726 4度C'!$Y:$Y,'0726 4度C'!$A:$A,"新豐2線",'0726 4度C'!$B:$B,"平均")</f>
        <v>0</v>
      </c>
      <c r="F18" s="78">
        <f>SUMIFS('0726 4度C'!$Y:$Y,'0726 4度C'!$A:$A,"新豐5線",'0726 4度C'!$B:$B,"平均")</f>
        <v>0</v>
      </c>
      <c r="G18" s="78">
        <f>SUMIFS('0726 4度C'!$Y:$Y,'0726 4度C'!$A:$A,"新豐7線",'0726 4度C'!$B:$B,"平均")</f>
        <v>0</v>
      </c>
      <c r="H18" s="78">
        <f>SUMIFS('0726 4度C'!$Y:$Y,'0726 4度C'!$A:$A,"新豐3線",'0726 4度C'!$B:$B,"平均")</f>
        <v>0</v>
      </c>
      <c r="I18" s="78">
        <f>SUMIFS('0726 4度C'!$Y:$Y,'0726 4度C'!$A:$A,"新豐1線",'0726 4度C'!$B:$B,"平均")</f>
        <v>0</v>
      </c>
      <c r="J18" s="79">
        <f>SUMIFS('0726 4度C'!$Y:$Y,'0726 4度C'!$A:$A,"新豐10線",'0726 4度C'!$B:$B,"平均")</f>
        <v>0</v>
      </c>
      <c r="K18" s="80">
        <f>SUMIFS('0726 4度C'!$Y:$Y,'0726 4度C'!$A:$A,"新豐8線",'0726 4度C'!$B:$B,"平均")</f>
        <v>0</v>
      </c>
      <c r="L18" s="78">
        <f>SUMIFS('0726 4度C'!$Y:$Y,'0726 4度C'!$A:$A,"新豐9線",'0726 4度C'!$B:$B,"平均")</f>
        <v>0</v>
      </c>
      <c r="M18" s="79">
        <f>SUMIFS('0726 4度C'!$Y:$Y,'0726 4度C'!$A:$A,"新豐4線",'0726 4度C'!$B:$B,"平均")</f>
        <v>0</v>
      </c>
    </row>
    <row r="19" spans="2:13" ht="17.25" customHeight="1">
      <c r="B19" s="545"/>
      <c r="C19" s="76" t="s">
        <v>2362</v>
      </c>
      <c r="D19" s="77">
        <f>SUMIFS('0726 4度C'!$Z:$Z,'0726 4度C'!$A:$A,"新豐6線",'0726 4度C'!$B:$B,"平均")</f>
        <v>0</v>
      </c>
      <c r="E19" s="78">
        <f>SUMIFS('0726 4度C'!$Z:$Z,'0726 4度C'!$A:$A,"新豐2線",'0726 4度C'!$B:$B,"平均")</f>
        <v>0</v>
      </c>
      <c r="F19" s="78">
        <f>SUMIFS('0726 4度C'!$Z:$Z,'0726 4度C'!$A:$A,"新豐5線",'0726 4度C'!$B:$B,"平均")</f>
        <v>0</v>
      </c>
      <c r="G19" s="78">
        <f>SUMIFS('0726 4度C'!$Z:$Z,'0726 4度C'!$A:$A,"新豐7線",'0726 4度C'!$B:$B,"平均")</f>
        <v>0</v>
      </c>
      <c r="H19" s="78">
        <f>SUMIFS('0726 4度C'!$Z:$Z,'0726 4度C'!$A:$A,"新豐3線",'0726 4度C'!$B:$B,"平均")</f>
        <v>0</v>
      </c>
      <c r="I19" s="78">
        <f>SUMIFS('0726 4度C'!$Z:$Z,'0726 4度C'!$A:$A,"新豐1線",'0726 4度C'!$B:$B,"平均")</f>
        <v>0</v>
      </c>
      <c r="J19" s="79">
        <f>SUMIFS('0726 4度C'!$Z:$Z,'0726 4度C'!$A:$A,"新豐10線",'0726 4度C'!$B:$B,"平均")</f>
        <v>0</v>
      </c>
      <c r="K19" s="80">
        <f>SUMIFS('0726 4度C'!$Z:$Z,'0726 4度C'!$A:$A,"新豐8線",'0726 4度C'!$B:$B,"平均")</f>
        <v>0</v>
      </c>
      <c r="L19" s="78">
        <f>SUMIFS('0726 4度C'!$Z:$Z,'0726 4度C'!$A:$A,"新豐9線",'0726 4度C'!$B:$B,"平均")</f>
        <v>0</v>
      </c>
      <c r="M19" s="79">
        <f>SUMIFS('0726 4度C'!$Z:$Z,'0726 4度C'!$A:$A,"新豐4線",'0726 4度C'!$B:$B,"平均")</f>
        <v>0</v>
      </c>
    </row>
    <row r="20" spans="2:13" ht="17.25" customHeight="1">
      <c r="B20" s="544" t="s">
        <v>2363</v>
      </c>
      <c r="C20" s="76" t="s">
        <v>2361</v>
      </c>
      <c r="D20" s="77">
        <f>SUMIFS('0726 4度C'!$AC:$AC,'0726 4度C'!$A:$A,"新豐6線",'0726 4度C'!$B:$B,"平均")</f>
        <v>4</v>
      </c>
      <c r="E20" s="78">
        <f>SUMIFS('0726 4度C'!$AC:$AC,'0726 4度C'!$A:$A,"新豐2線",'0726 4度C'!$B:$B,"平均")</f>
        <v>6</v>
      </c>
      <c r="F20" s="78">
        <f>SUMIFS('0726 4度C'!$AC:$AC,'0726 4度C'!$A:$A,"新豐5線",'0726 4度C'!$B:$B,"平均")</f>
        <v>8</v>
      </c>
      <c r="G20" s="78">
        <f>SUMIFS('0726 4度C'!$AC:$AC,'0726 4度C'!$A:$A,"新豐7線",'0726 4度C'!$B:$B,"平均")</f>
        <v>7</v>
      </c>
      <c r="H20" s="78">
        <f>SUMIFS('0726 4度C'!$AC:$AC,'0726 4度C'!$A:$A,"新豐3線",'0726 4度C'!$B:$B,"平均")</f>
        <v>4</v>
      </c>
      <c r="I20" s="78">
        <f>SUMIFS('0726 4度C'!$AC:$AC,'0726 4度C'!$A:$A,"新豐1線",'0726 4度C'!$B:$B,"平均")</f>
        <v>9</v>
      </c>
      <c r="J20" s="79">
        <f>SUMIFS('0726 4度C'!$AC:$AC,'0726 4度C'!$A:$A,"新豐10線",'0726 4度C'!$B:$B,"平均")</f>
        <v>4</v>
      </c>
      <c r="K20" s="80">
        <f>SUMIFS('0726 4度C'!$AC:$AC,'0726 4度C'!$A:$A,"新豐8線",'0726 4度C'!$B:$B,"平均")</f>
        <v>8</v>
      </c>
      <c r="L20" s="78">
        <f>SUMIFS('0726 4度C'!$AC:$AC,'0726 4度C'!$A:$A,"新豐9線",'0726 4度C'!$B:$B,"平均")</f>
        <v>8</v>
      </c>
      <c r="M20" s="79">
        <f>SUMIFS('0726 4度C'!$AC:$AC,'0726 4度C'!$A:$A,"新豐4線",'0726 4度C'!$B:$B,"平均")</f>
        <v>8</v>
      </c>
    </row>
    <row r="21" spans="2:13" ht="17.25" customHeight="1">
      <c r="B21" s="545"/>
      <c r="C21" s="76" t="s">
        <v>2364</v>
      </c>
      <c r="D21" s="77">
        <f>SUMIFS('0726 4度C'!$AD:$AD,'0726 4度C'!$A:$A,"新豐6線",'0726 4度C'!$B:$B,"平均")</f>
        <v>0</v>
      </c>
      <c r="E21" s="78">
        <f>SUMIFS('0726 4度C'!$AD:$AD,'0726 4度C'!$A:$A,"新豐2線",'0726 4度C'!$B:$B,"平均")</f>
        <v>0</v>
      </c>
      <c r="F21" s="78">
        <f>SUMIFS('0726 4度C'!$AD:$AD,'0726 4度C'!$A:$A,"新豐5線",'0726 4度C'!$B:$B,"平均")</f>
        <v>0</v>
      </c>
      <c r="G21" s="78">
        <f>SUMIFS('0726 4度C'!$AD:$AD,'0726 4度C'!$A:$A,"新豐7線",'0726 4度C'!$B:$B,"平均")</f>
        <v>0</v>
      </c>
      <c r="H21" s="78">
        <f>SUMIFS('0726 4度C'!$AD:$AD,'0726 4度C'!$A:$A,"新豐3線",'0726 4度C'!$B:$B,"平均")</f>
        <v>0</v>
      </c>
      <c r="I21" s="78">
        <f>SUMIFS('0726 4度C'!$AD:$AD,'0726 4度C'!$A:$A,"新豐1線",'0726 4度C'!$B:$B,"平均")</f>
        <v>0</v>
      </c>
      <c r="J21" s="79">
        <f>SUMIFS('0726 4度C'!$AD:$AD,'0726 4度C'!$A:$A,"新豐10線",'0726 4度C'!$B:$B,"平均")</f>
        <v>0</v>
      </c>
      <c r="K21" s="80">
        <f>SUMIFS('0726 4度C'!$AD:$AD,'0726 4度C'!$A:$A,"新豐8線",'0726 4度C'!$B:$B,"平均")</f>
        <v>0</v>
      </c>
      <c r="L21" s="78">
        <f>SUMIFS('0726 4度C'!$AD:$AD,'0726 4度C'!$A:$A,"新豐9線",'0726 4度C'!$B:$B,"平均")</f>
        <v>0</v>
      </c>
      <c r="M21" s="79">
        <f>SUMIFS('0726 4度C'!$AD:$AD,'0726 4度C'!$A:$A,"新豐4線",'0726 4度C'!$B:$B,"平均")</f>
        <v>0</v>
      </c>
    </row>
    <row r="22" spans="2:13" ht="17.25" customHeight="1">
      <c r="B22" s="546" t="s">
        <v>2365</v>
      </c>
      <c r="C22" s="547"/>
      <c r="D22" s="81">
        <f>SUMIFS('0726 4度C'!$I:$I,'0726 4度C'!$A:$A,"新豐6線",'0726 4度C'!$B:$B,"平均")</f>
        <v>15.5</v>
      </c>
      <c r="E22" s="82">
        <f>SUMIFS('0726 4度C'!$I:$I,'0726 4度C'!$A:$A,"新豐2線",'0726 4度C'!$B:$B,"平均")</f>
        <v>17.666666666666668</v>
      </c>
      <c r="F22" s="82">
        <f>SUMIFS('0726 4度C'!$I:$I,'0726 4度C'!$A:$A,"新豐5線",'0726 4度C'!$B:$B,"平均")</f>
        <v>18.625</v>
      </c>
      <c r="G22" s="82">
        <f>SUMIFS('0726 4度C'!$I:$I,'0726 4度C'!$A:$A,"新豐7線",'0726 4度C'!$B:$B,"平均")</f>
        <v>15.714285714285714</v>
      </c>
      <c r="H22" s="82">
        <f>SUMIFS('0726 4度C'!$I:$I,'0726 4度C'!$A:$A,"新豐3線",'0726 4度C'!$B:$B,"平均")</f>
        <v>9.75</v>
      </c>
      <c r="I22" s="82">
        <f>SUMIFS('0726 4度C'!$I:$I,'0726 4度C'!$A:$A,"新豐1線",'0726 4度C'!$B:$B,"平均")</f>
        <v>17.666666666666668</v>
      </c>
      <c r="J22" s="83">
        <f>SUMIFS('0726 4度C'!$I:$I,'0726 4度C'!$A:$A,"新豐10線",'0726 4度C'!$B:$B,"平均")</f>
        <v>9.75</v>
      </c>
      <c r="K22" s="81">
        <f>SUMIFS('0726 4度C'!$I:$I,'0726 4度C'!$A:$A,"新豐8線",'0726 4度C'!$B:$B,"平均")</f>
        <v>17.5</v>
      </c>
      <c r="L22" s="82">
        <f>SUMIFS('0726 4度C'!$I:$I,'0726 4度C'!$A:$A,"新豐9線",'0726 4度C'!$B:$B,"平均")</f>
        <v>17.5</v>
      </c>
      <c r="M22" s="83">
        <f>SUMIFS('0726 4度C'!$I:$I,'0726 4度C'!$A:$A,"新豐4線",'0726 4度C'!$B:$B,"平均")</f>
        <v>17.25</v>
      </c>
    </row>
    <row r="23" spans="2:13" ht="17.25" customHeight="1">
      <c r="B23" s="546" t="s">
        <v>2366</v>
      </c>
      <c r="C23" s="547"/>
      <c r="D23" s="84" t="s">
        <v>54</v>
      </c>
      <c r="E23" s="85" t="s">
        <v>55</v>
      </c>
      <c r="F23" s="85" t="s">
        <v>2367</v>
      </c>
      <c r="G23" s="85" t="s">
        <v>2367</v>
      </c>
      <c r="H23" s="85" t="s">
        <v>56</v>
      </c>
      <c r="I23" s="85" t="s">
        <v>54</v>
      </c>
      <c r="J23" s="86" t="s">
        <v>56</v>
      </c>
      <c r="K23" s="84" t="s">
        <v>2368</v>
      </c>
      <c r="L23" s="85" t="s">
        <v>2368</v>
      </c>
      <c r="M23" s="86" t="s">
        <v>2368</v>
      </c>
    </row>
    <row r="24" spans="2:13" ht="17.25" customHeight="1">
      <c r="B24" s="546" t="s">
        <v>2369</v>
      </c>
      <c r="C24" s="547"/>
      <c r="D24" s="84"/>
      <c r="E24" s="85"/>
      <c r="F24" s="85" t="s">
        <v>2370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2371</v>
      </c>
      <c r="C25" s="549"/>
      <c r="D25" s="87"/>
      <c r="E25" s="88" t="s">
        <v>2372</v>
      </c>
      <c r="F25" s="542" t="s">
        <v>2373</v>
      </c>
      <c r="G25" s="543"/>
      <c r="H25" s="88" t="s">
        <v>2374</v>
      </c>
      <c r="I25" s="88" t="s">
        <v>2375</v>
      </c>
      <c r="J25" s="89" t="s">
        <v>2374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0" activePane="bottomLeft" state="frozen"/>
      <selection activeCell="R10" sqref="R10"/>
      <selection pane="bottomLeft" activeCell="R10" sqref="R10:R1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516</v>
      </c>
      <c r="B1" s="1"/>
      <c r="C1" s="2" t="s">
        <v>422</v>
      </c>
      <c r="D1" s="3">
        <f>SUM(F5:F80)</f>
        <v>198781</v>
      </c>
      <c r="E1" s="451" t="s">
        <v>423</v>
      </c>
      <c r="F1" s="1">
        <f>SUM(G5:G80)</f>
        <v>6850152.4299999988</v>
      </c>
      <c r="G1" s="1" t="s">
        <v>679</v>
      </c>
      <c r="H1" s="4">
        <f>L9+L16+L56+L66+L25+L71+L42+L51+L33+L80</f>
        <v>156.92261904761907</v>
      </c>
      <c r="I1" s="654" t="s">
        <v>337</v>
      </c>
      <c r="J1" s="654"/>
      <c r="K1" s="654"/>
      <c r="L1" s="654" t="s">
        <v>338</v>
      </c>
      <c r="M1" s="654"/>
      <c r="N1" s="654"/>
      <c r="O1" s="654" t="s">
        <v>339</v>
      </c>
      <c r="P1" s="654"/>
      <c r="Q1" s="654"/>
      <c r="R1" s="654"/>
      <c r="S1" s="654" t="s">
        <v>596</v>
      </c>
      <c r="T1" s="654"/>
      <c r="U1" s="654"/>
      <c r="V1" s="654"/>
      <c r="W1" s="654"/>
      <c r="X1" s="654"/>
      <c r="Y1" s="5" t="s">
        <v>341</v>
      </c>
      <c r="Z1" s="6" t="s">
        <v>429</v>
      </c>
      <c r="AA1" s="655" t="s">
        <v>343</v>
      </c>
      <c r="AB1" s="655"/>
      <c r="AC1" s="92" t="s">
        <v>341</v>
      </c>
      <c r="AD1" s="6" t="s">
        <v>2376</v>
      </c>
      <c r="AE1" s="654" t="s">
        <v>345</v>
      </c>
      <c r="AF1" s="656"/>
      <c r="AG1" s="656"/>
    </row>
    <row r="2" spans="1:33" ht="26.25" customHeight="1">
      <c r="A2" s="25">
        <v>46229</v>
      </c>
      <c r="B2" s="26" t="s">
        <v>471</v>
      </c>
      <c r="C2" s="2" t="s">
        <v>107</v>
      </c>
      <c r="D2" s="8">
        <f>AVERAGE(N9,N16,N56,N66,N25,N71,N33,N42,N51,N80)</f>
        <v>149.65409002914515</v>
      </c>
      <c r="E2" s="9" t="s">
        <v>0</v>
      </c>
      <c r="F2" s="10">
        <f>F1/D1</f>
        <v>34.4608007304521</v>
      </c>
      <c r="G2" s="1" t="s">
        <v>434</v>
      </c>
      <c r="H2" s="463">
        <f>COUNT(H5:H80)</f>
        <v>15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SUM(Y9+Y16+Y25+Y33+Y42+Y51+Y56+Y66+Y71+Y80)</f>
        <v>0</v>
      </c>
      <c r="Z2" s="11">
        <f>SUM(Z9+Z16+Z25+Z33+Z42+Z51+Z56+Z66+Z71+Z80)</f>
        <v>0</v>
      </c>
      <c r="AA2" s="655"/>
      <c r="AB2" s="655"/>
      <c r="AC2" s="11">
        <v>66</v>
      </c>
      <c r="AD2" s="11">
        <f>SUM(AD9+AD16+AD25+AD33+AD42+AD51+AD56+AD66+AD71+AD80)</f>
        <v>0</v>
      </c>
      <c r="AE2" s="656"/>
      <c r="AF2" s="656"/>
      <c r="AG2" s="656"/>
    </row>
    <row r="3" spans="1:33" ht="40.5" customHeight="1">
      <c r="A3" s="612" t="s">
        <v>348</v>
      </c>
      <c r="B3" s="612" t="s">
        <v>349</v>
      </c>
      <c r="C3" s="612" t="s">
        <v>350</v>
      </c>
      <c r="D3" s="612"/>
      <c r="E3" s="652" t="s">
        <v>534</v>
      </c>
      <c r="F3" s="612" t="s">
        <v>352</v>
      </c>
      <c r="G3" s="652" t="s">
        <v>353</v>
      </c>
      <c r="H3" s="645" t="s">
        <v>354</v>
      </c>
      <c r="I3" s="644" t="s">
        <v>2377</v>
      </c>
      <c r="J3" s="641" t="s">
        <v>443</v>
      </c>
      <c r="K3" s="650" t="s">
        <v>107</v>
      </c>
      <c r="L3" s="644" t="s">
        <v>78</v>
      </c>
      <c r="M3" s="641" t="s">
        <v>443</v>
      </c>
      <c r="N3" s="650" t="s">
        <v>107</v>
      </c>
      <c r="O3" s="644" t="s">
        <v>78</v>
      </c>
      <c r="P3" s="650" t="s">
        <v>107</v>
      </c>
      <c r="Q3" s="642" t="s">
        <v>356</v>
      </c>
      <c r="R3" s="621" t="s">
        <v>357</v>
      </c>
      <c r="S3" s="651" t="s">
        <v>1</v>
      </c>
      <c r="T3" s="651"/>
      <c r="U3" s="645" t="s">
        <v>2</v>
      </c>
      <c r="V3" s="645" t="s">
        <v>358</v>
      </c>
      <c r="W3" s="612" t="s">
        <v>359</v>
      </c>
      <c r="X3" s="612"/>
      <c r="Y3" s="646" t="s">
        <v>360</v>
      </c>
      <c r="Z3" s="611"/>
      <c r="AA3" s="647" t="s">
        <v>361</v>
      </c>
      <c r="AB3" s="648"/>
      <c r="AC3" s="646" t="s">
        <v>2378</v>
      </c>
      <c r="AD3" s="611"/>
      <c r="AE3" s="641" t="s">
        <v>443</v>
      </c>
      <c r="AF3" s="642" t="s">
        <v>2379</v>
      </c>
      <c r="AG3" s="621" t="s">
        <v>357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62" t="s">
        <v>3</v>
      </c>
      <c r="T4" s="462" t="s">
        <v>4</v>
      </c>
      <c r="U4" s="645"/>
      <c r="V4" s="645"/>
      <c r="W4" s="451" t="s">
        <v>710</v>
      </c>
      <c r="X4" s="451" t="s">
        <v>364</v>
      </c>
      <c r="Y4" s="453" t="s">
        <v>2380</v>
      </c>
      <c r="Z4" s="453" t="s">
        <v>2381</v>
      </c>
      <c r="AA4" s="649"/>
      <c r="AB4" s="648"/>
      <c r="AC4" s="453" t="s">
        <v>2382</v>
      </c>
      <c r="AD4" s="453" t="s">
        <v>367</v>
      </c>
      <c r="AE4" s="641"/>
      <c r="AF4" s="642"/>
      <c r="AG4" s="621"/>
    </row>
    <row r="5" spans="1:33">
      <c r="A5" s="643" t="s">
        <v>2383</v>
      </c>
      <c r="B5" s="27" t="s">
        <v>5</v>
      </c>
      <c r="C5" s="657" t="s">
        <v>14</v>
      </c>
      <c r="D5" s="657"/>
      <c r="E5" s="27">
        <v>50.92</v>
      </c>
      <c r="F5" s="462">
        <v>2379</v>
      </c>
      <c r="G5" s="451">
        <f t="shared" ref="G5:G8" si="0">E5*F5</f>
        <v>121138.68000000001</v>
      </c>
      <c r="H5" s="31" t="s">
        <v>40</v>
      </c>
      <c r="I5" s="460">
        <v>15</v>
      </c>
      <c r="J5" s="29">
        <v>2000</v>
      </c>
      <c r="K5" s="12">
        <f t="shared" ref="K5:K68" si="1">J5/I5</f>
        <v>133.33333333333334</v>
      </c>
      <c r="L5" s="460">
        <v>15</v>
      </c>
      <c r="M5" s="13">
        <f t="shared" ref="M5:M8" si="2">F5/V5*60</f>
        <v>1928.9189189189174</v>
      </c>
      <c r="N5" s="12">
        <f t="shared" ref="N5:N68" si="3">M5/L5</f>
        <v>128.5945945945945</v>
      </c>
      <c r="O5" s="14">
        <f t="shared" ref="O5:O68" si="4">L5-I5</f>
        <v>0</v>
      </c>
      <c r="P5" s="15">
        <f t="shared" ref="P5:P68" si="5">N5-K5</f>
        <v>-4.7387387387388458</v>
      </c>
      <c r="Q5" s="454">
        <f t="shared" ref="Q5:Q68" si="6">N5/K5</f>
        <v>0.96445945945945866</v>
      </c>
      <c r="R5" s="616">
        <f>Q9</f>
        <v>0.96443040895664189</v>
      </c>
      <c r="S5" s="32">
        <v>0.70833333333333337</v>
      </c>
      <c r="T5" s="32">
        <v>0.7597222222222223</v>
      </c>
      <c r="U5" s="451"/>
      <c r="V5" s="461">
        <f t="shared" ref="V5:V8" si="7">(T5-S5)*24*60</f>
        <v>74.000000000000057</v>
      </c>
      <c r="W5" s="16"/>
      <c r="X5" s="16"/>
      <c r="Y5" s="17"/>
      <c r="Z5" s="17"/>
      <c r="AA5" s="612"/>
      <c r="AB5" s="612"/>
      <c r="AC5" s="18">
        <v>4</v>
      </c>
      <c r="AD5" s="18"/>
      <c r="AE5" s="14">
        <f t="shared" ref="AE5:AE65" si="8">M5-J5</f>
        <v>-71.08108108108263</v>
      </c>
      <c r="AF5" s="454">
        <f t="shared" ref="AF5:AF68" si="9">M5/J5</f>
        <v>0.96445945945945866</v>
      </c>
      <c r="AG5" s="616">
        <f>AF9</f>
        <v>0.96443040895664189</v>
      </c>
    </row>
    <row r="6" spans="1:33">
      <c r="A6" s="644" t="s">
        <v>368</v>
      </c>
      <c r="B6" s="27" t="s">
        <v>5</v>
      </c>
      <c r="C6" s="657" t="s">
        <v>19</v>
      </c>
      <c r="D6" s="657"/>
      <c r="E6" s="27">
        <v>50.98</v>
      </c>
      <c r="F6" s="462">
        <v>1000</v>
      </c>
      <c r="G6" s="451">
        <f t="shared" si="0"/>
        <v>50980</v>
      </c>
      <c r="H6" s="31">
        <v>2</v>
      </c>
      <c r="I6" s="460">
        <v>16</v>
      </c>
      <c r="J6" s="29">
        <v>2000</v>
      </c>
      <c r="K6" s="12">
        <f t="shared" si="1"/>
        <v>125</v>
      </c>
      <c r="L6" s="460">
        <v>16</v>
      </c>
      <c r="M6" s="13">
        <f t="shared" si="2"/>
        <v>1935.483870967739</v>
      </c>
      <c r="N6" s="12">
        <f t="shared" si="3"/>
        <v>120.96774193548369</v>
      </c>
      <c r="O6" s="14">
        <f t="shared" si="4"/>
        <v>0</v>
      </c>
      <c r="P6" s="15">
        <f t="shared" si="5"/>
        <v>-4.0322580645163129</v>
      </c>
      <c r="Q6" s="454">
        <f t="shared" si="6"/>
        <v>0.96774193548386944</v>
      </c>
      <c r="R6" s="616"/>
      <c r="S6" s="32">
        <v>0.76388888888888895</v>
      </c>
      <c r="T6" s="32">
        <v>0.78541666666666676</v>
      </c>
      <c r="U6" s="451">
        <f t="shared" ref="U6:U8" si="10">IF(S6=TIME(17,0,0),"",(S6-T5)*24*60)</f>
        <v>5.9999999999999787</v>
      </c>
      <c r="V6" s="461">
        <f t="shared" si="7"/>
        <v>31.00000000000005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-64.516129032261006</v>
      </c>
      <c r="AF6" s="454">
        <f t="shared" si="9"/>
        <v>0.96774193548386944</v>
      </c>
      <c r="AG6" s="616"/>
    </row>
    <row r="7" spans="1:33">
      <c r="A7" s="644" t="s">
        <v>368</v>
      </c>
      <c r="B7" s="27" t="s">
        <v>5</v>
      </c>
      <c r="C7" s="638" t="s">
        <v>7</v>
      </c>
      <c r="D7" s="639"/>
      <c r="E7" s="27">
        <v>50.67</v>
      </c>
      <c r="F7" s="462">
        <v>1957</v>
      </c>
      <c r="G7" s="451">
        <f t="shared" si="0"/>
        <v>99161.19</v>
      </c>
      <c r="H7" s="31" t="s">
        <v>40</v>
      </c>
      <c r="I7" s="460">
        <v>15</v>
      </c>
      <c r="J7" s="29">
        <v>2000</v>
      </c>
      <c r="K7" s="12">
        <f t="shared" si="1"/>
        <v>133.33333333333334</v>
      </c>
      <c r="L7" s="460">
        <v>15</v>
      </c>
      <c r="M7" s="13">
        <f t="shared" si="2"/>
        <v>1924.9180327868871</v>
      </c>
      <c r="N7" s="12">
        <f t="shared" si="3"/>
        <v>128.32786885245915</v>
      </c>
      <c r="O7" s="14">
        <f t="shared" si="4"/>
        <v>0</v>
      </c>
      <c r="P7" s="15">
        <f t="shared" si="5"/>
        <v>-5.0054644808741955</v>
      </c>
      <c r="Q7" s="454">
        <f t="shared" si="6"/>
        <v>0.96245901639344356</v>
      </c>
      <c r="R7" s="616"/>
      <c r="S7" s="32">
        <v>0.7909722222222223</v>
      </c>
      <c r="T7" s="32">
        <v>0.83333333333333337</v>
      </c>
      <c r="U7" s="451">
        <f t="shared" si="10"/>
        <v>7.9999999999999716</v>
      </c>
      <c r="V7" s="461">
        <f t="shared" si="7"/>
        <v>60.999999999999943</v>
      </c>
      <c r="W7" s="16">
        <f>T7</f>
        <v>0.83333333333333337</v>
      </c>
      <c r="X7" s="16">
        <f>S8</f>
        <v>0.87222222222222223</v>
      </c>
      <c r="Y7" s="19"/>
      <c r="Z7" s="19"/>
      <c r="AA7" s="607"/>
      <c r="AB7" s="608"/>
      <c r="AC7" s="267"/>
      <c r="AD7" s="267"/>
      <c r="AE7" s="14">
        <f t="shared" si="8"/>
        <v>-75.081967213112875</v>
      </c>
      <c r="AF7" s="454">
        <f t="shared" si="9"/>
        <v>0.96245901639344356</v>
      </c>
      <c r="AG7" s="616"/>
    </row>
    <row r="8" spans="1:33">
      <c r="A8" s="644" t="s">
        <v>368</v>
      </c>
      <c r="B8" s="27" t="s">
        <v>5</v>
      </c>
      <c r="C8" s="638" t="s">
        <v>19</v>
      </c>
      <c r="D8" s="639"/>
      <c r="E8" s="27">
        <v>50.98</v>
      </c>
      <c r="F8" s="462">
        <v>1573</v>
      </c>
      <c r="G8" s="451">
        <f t="shared" si="0"/>
        <v>80191.539999999994</v>
      </c>
      <c r="H8" s="31" t="s">
        <v>40</v>
      </c>
      <c r="I8" s="460">
        <v>16</v>
      </c>
      <c r="J8" s="29">
        <v>2000</v>
      </c>
      <c r="K8" s="12">
        <f t="shared" si="1"/>
        <v>125</v>
      </c>
      <c r="L8" s="460">
        <v>16</v>
      </c>
      <c r="M8" s="13">
        <f t="shared" si="2"/>
        <v>1926.1224489795925</v>
      </c>
      <c r="N8" s="12">
        <f t="shared" si="3"/>
        <v>120.38265306122453</v>
      </c>
      <c r="O8" s="14">
        <f t="shared" si="4"/>
        <v>0</v>
      </c>
      <c r="P8" s="15">
        <f t="shared" si="5"/>
        <v>-4.6173469387754693</v>
      </c>
      <c r="Q8" s="454">
        <f t="shared" si="6"/>
        <v>0.96306122448979625</v>
      </c>
      <c r="R8" s="616"/>
      <c r="S8" s="32">
        <v>0.87222222222222223</v>
      </c>
      <c r="T8" s="32">
        <v>0.90625</v>
      </c>
      <c r="U8" s="451">
        <f t="shared" si="10"/>
        <v>55.999999999999957</v>
      </c>
      <c r="V8" s="461">
        <f t="shared" si="7"/>
        <v>48.999999999999986</v>
      </c>
      <c r="W8" s="20"/>
      <c r="X8" s="20"/>
      <c r="Y8" s="270"/>
      <c r="Z8" s="270"/>
      <c r="AA8" s="607"/>
      <c r="AB8" s="608"/>
      <c r="AC8" s="267"/>
      <c r="AD8" s="267"/>
      <c r="AE8" s="14">
        <f t="shared" si="8"/>
        <v>-73.877551020407509</v>
      </c>
      <c r="AF8" s="454">
        <f t="shared" si="9"/>
        <v>0.96306122448979625</v>
      </c>
      <c r="AG8" s="616"/>
    </row>
    <row r="9" spans="1:33">
      <c r="A9" s="644" t="s">
        <v>368</v>
      </c>
      <c r="B9" s="27" t="s">
        <v>461</v>
      </c>
      <c r="C9" s="658"/>
      <c r="D9" s="658"/>
      <c r="E9" s="455"/>
      <c r="F9" s="28"/>
      <c r="G9" s="12"/>
      <c r="H9" s="462"/>
      <c r="I9" s="21">
        <v>15.5</v>
      </c>
      <c r="J9" s="29">
        <v>2000</v>
      </c>
      <c r="K9" s="12">
        <f t="shared" si="1"/>
        <v>129.03225806451613</v>
      </c>
      <c r="L9" s="21">
        <v>15.5</v>
      </c>
      <c r="M9" s="13">
        <f>AVERAGE(M5:M8)</f>
        <v>1928.8608179132839</v>
      </c>
      <c r="N9" s="12">
        <f t="shared" si="3"/>
        <v>124.44263341376025</v>
      </c>
      <c r="O9" s="14">
        <f t="shared" si="4"/>
        <v>0</v>
      </c>
      <c r="P9" s="15">
        <f t="shared" si="5"/>
        <v>-4.58962465075588</v>
      </c>
      <c r="Q9" s="454">
        <f t="shared" si="6"/>
        <v>0.96443040895664189</v>
      </c>
      <c r="R9" s="616"/>
      <c r="S9" s="32"/>
      <c r="T9" s="32"/>
      <c r="U9" s="451"/>
      <c r="V9" s="461"/>
      <c r="W9" s="12"/>
      <c r="X9" s="12"/>
      <c r="Y9" s="22">
        <f>SUM(Y5:Y8)</f>
        <v>0</v>
      </c>
      <c r="Z9" s="22">
        <f>SUM(Z5:Z8)</f>
        <v>0</v>
      </c>
      <c r="AA9" s="611"/>
      <c r="AB9" s="611"/>
      <c r="AC9" s="22">
        <v>4</v>
      </c>
      <c r="AD9" s="22">
        <f>SUM(AD5:AD8)</f>
        <v>0</v>
      </c>
      <c r="AE9" s="14">
        <f t="shared" si="8"/>
        <v>-71.139182086716119</v>
      </c>
      <c r="AF9" s="454">
        <f t="shared" si="9"/>
        <v>0.96443040895664189</v>
      </c>
      <c r="AG9" s="616"/>
    </row>
    <row r="10" spans="1:33" ht="15.75" customHeight="1">
      <c r="A10" s="640" t="s">
        <v>2384</v>
      </c>
      <c r="B10" s="27" t="s">
        <v>8</v>
      </c>
      <c r="C10" s="638" t="s">
        <v>10</v>
      </c>
      <c r="D10" s="639"/>
      <c r="E10" s="27">
        <v>39.799999999999997</v>
      </c>
      <c r="F10" s="462">
        <v>4100</v>
      </c>
      <c r="G10" s="451">
        <f t="shared" ref="G10:G15" si="11">E10*F10</f>
        <v>163180</v>
      </c>
      <c r="H10" s="31">
        <v>2</v>
      </c>
      <c r="I10" s="460">
        <v>17</v>
      </c>
      <c r="J10" s="29">
        <v>1500</v>
      </c>
      <c r="K10" s="12">
        <f t="shared" si="1"/>
        <v>88.235294117647058</v>
      </c>
      <c r="L10" s="460">
        <v>17</v>
      </c>
      <c r="M10" s="13">
        <f t="shared" ref="M10:M15" si="12">F10/V10*60</f>
        <v>1430.2325581395351</v>
      </c>
      <c r="N10" s="12">
        <f t="shared" si="3"/>
        <v>84.131326949384416</v>
      </c>
      <c r="O10" s="14">
        <f t="shared" si="4"/>
        <v>0</v>
      </c>
      <c r="P10" s="15">
        <f t="shared" si="5"/>
        <v>-4.103967168262642</v>
      </c>
      <c r="Q10" s="454">
        <f t="shared" si="6"/>
        <v>0.9534883720930234</v>
      </c>
      <c r="R10" s="616">
        <f>Q16</f>
        <v>0.95494023698447394</v>
      </c>
      <c r="S10" s="32">
        <v>8.3333333333333329E-2</v>
      </c>
      <c r="T10" s="32">
        <v>0.20277777777777778</v>
      </c>
      <c r="U10" s="451"/>
      <c r="V10" s="461">
        <f t="shared" ref="V10:V15" si="13">(T10-S10)*24*60</f>
        <v>172</v>
      </c>
      <c r="W10" s="16">
        <f>T10</f>
        <v>0.20277777777777778</v>
      </c>
      <c r="X10" s="16">
        <f>S11</f>
        <v>0.22152777777777777</v>
      </c>
      <c r="Y10" s="16"/>
      <c r="Z10" s="16"/>
      <c r="AA10" s="612"/>
      <c r="AB10" s="612"/>
      <c r="AC10" s="18">
        <v>6</v>
      </c>
      <c r="AD10" s="18"/>
      <c r="AE10" s="14">
        <f t="shared" si="8"/>
        <v>-69.767441860464942</v>
      </c>
      <c r="AF10" s="454">
        <f t="shared" si="9"/>
        <v>0.9534883720930234</v>
      </c>
      <c r="AG10" s="616">
        <f>AF16</f>
        <v>0.95494023698447394</v>
      </c>
    </row>
    <row r="11" spans="1:33" ht="15.75" customHeight="1">
      <c r="A11" s="640" t="s">
        <v>369</v>
      </c>
      <c r="B11" s="27" t="s">
        <v>8</v>
      </c>
      <c r="C11" s="638" t="s">
        <v>63</v>
      </c>
      <c r="D11" s="639"/>
      <c r="E11" s="27">
        <v>39.46</v>
      </c>
      <c r="F11" s="462">
        <v>3367</v>
      </c>
      <c r="G11" s="451">
        <f t="shared" si="11"/>
        <v>132861.82</v>
      </c>
      <c r="H11" s="31" t="s">
        <v>40</v>
      </c>
      <c r="I11" s="460">
        <v>15</v>
      </c>
      <c r="J11" s="29">
        <v>1500</v>
      </c>
      <c r="K11" s="12">
        <f t="shared" si="1"/>
        <v>100</v>
      </c>
      <c r="L11" s="460">
        <v>15</v>
      </c>
      <c r="M11" s="13">
        <f t="shared" si="12"/>
        <v>1432.7659574468089</v>
      </c>
      <c r="N11" s="12">
        <f t="shared" si="3"/>
        <v>95.517730496453922</v>
      </c>
      <c r="O11" s="14">
        <f t="shared" si="4"/>
        <v>0</v>
      </c>
      <c r="P11" s="15">
        <f t="shared" si="5"/>
        <v>-4.4822695035460782</v>
      </c>
      <c r="Q11" s="454">
        <f t="shared" si="6"/>
        <v>0.95517730496453923</v>
      </c>
      <c r="R11" s="616"/>
      <c r="S11" s="32">
        <v>0.22152777777777777</v>
      </c>
      <c r="T11" s="32">
        <v>0.31944444444444442</v>
      </c>
      <c r="U11" s="451">
        <f t="shared" ref="U11:U15" si="14">IF(S11=TIME(17,0,0),"",(S11-T10)*24*60)</f>
        <v>26.999999999999986</v>
      </c>
      <c r="V11" s="461">
        <f t="shared" si="13"/>
        <v>140.99999999999997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-67.234042553191102</v>
      </c>
      <c r="AF11" s="454">
        <f t="shared" si="9"/>
        <v>0.95517730496453923</v>
      </c>
      <c r="AG11" s="616"/>
    </row>
    <row r="12" spans="1:33" ht="15.75" customHeight="1">
      <c r="A12" s="640" t="s">
        <v>369</v>
      </c>
      <c r="B12" s="27" t="s">
        <v>8</v>
      </c>
      <c r="C12" s="638" t="s">
        <v>74</v>
      </c>
      <c r="D12" s="639"/>
      <c r="E12" s="27">
        <v>39.520000000000003</v>
      </c>
      <c r="F12" s="462">
        <v>2732</v>
      </c>
      <c r="G12" s="451">
        <f t="shared" si="11"/>
        <v>107968.64000000001</v>
      </c>
      <c r="H12" s="31" t="s">
        <v>40</v>
      </c>
      <c r="I12" s="460">
        <v>19</v>
      </c>
      <c r="J12" s="29">
        <v>1500</v>
      </c>
      <c r="K12" s="12">
        <f t="shared" si="1"/>
        <v>78.94736842105263</v>
      </c>
      <c r="L12" s="460">
        <v>19</v>
      </c>
      <c r="M12" s="13">
        <f t="shared" si="12"/>
        <v>1437.8947368421052</v>
      </c>
      <c r="N12" s="12">
        <f t="shared" si="3"/>
        <v>75.6786703601108</v>
      </c>
      <c r="O12" s="14">
        <f t="shared" si="4"/>
        <v>0</v>
      </c>
      <c r="P12" s="15">
        <f t="shared" si="5"/>
        <v>-3.2686980609418299</v>
      </c>
      <c r="Q12" s="454">
        <f t="shared" si="6"/>
        <v>0.95859649122807011</v>
      </c>
      <c r="R12" s="616"/>
      <c r="S12" s="32">
        <v>0.32291666666666663</v>
      </c>
      <c r="T12" s="32">
        <v>0.40208333333333329</v>
      </c>
      <c r="U12" s="451">
        <f t="shared" si="14"/>
        <v>4.9999999999999822</v>
      </c>
      <c r="V12" s="461">
        <f t="shared" si="13"/>
        <v>114</v>
      </c>
      <c r="W12" s="16"/>
      <c r="X12" s="16"/>
      <c r="Y12" s="16"/>
      <c r="Z12" s="16"/>
      <c r="AA12" s="612"/>
      <c r="AB12" s="612"/>
      <c r="AC12" s="18"/>
      <c r="AD12" s="18"/>
      <c r="AE12" s="14">
        <f t="shared" si="8"/>
        <v>-62.105263157894797</v>
      </c>
      <c r="AF12" s="454">
        <f t="shared" si="9"/>
        <v>0.95859649122807011</v>
      </c>
      <c r="AG12" s="616"/>
    </row>
    <row r="13" spans="1:33" ht="15.75" customHeight="1">
      <c r="A13" s="640" t="s">
        <v>369</v>
      </c>
      <c r="B13" s="27" t="s">
        <v>8</v>
      </c>
      <c r="C13" s="638" t="s">
        <v>9</v>
      </c>
      <c r="D13" s="639"/>
      <c r="E13" s="27">
        <v>39.619999999999997</v>
      </c>
      <c r="F13" s="462">
        <v>2900</v>
      </c>
      <c r="G13" s="451">
        <f t="shared" si="11"/>
        <v>114897.99999999999</v>
      </c>
      <c r="H13" s="31">
        <v>2</v>
      </c>
      <c r="I13" s="460">
        <v>19</v>
      </c>
      <c r="J13" s="29">
        <v>1500</v>
      </c>
      <c r="K13" s="12">
        <f t="shared" si="1"/>
        <v>78.94736842105263</v>
      </c>
      <c r="L13" s="460">
        <v>19</v>
      </c>
      <c r="M13" s="13">
        <f t="shared" si="12"/>
        <v>1426.2295081967218</v>
      </c>
      <c r="N13" s="12">
        <f t="shared" si="3"/>
        <v>75.064710957722198</v>
      </c>
      <c r="O13" s="14">
        <f t="shared" si="4"/>
        <v>0</v>
      </c>
      <c r="P13" s="15">
        <f t="shared" si="5"/>
        <v>-3.8826574633304318</v>
      </c>
      <c r="Q13" s="454">
        <f t="shared" si="6"/>
        <v>0.95081967213114782</v>
      </c>
      <c r="R13" s="616"/>
      <c r="S13" s="32">
        <v>0.4055555555555555</v>
      </c>
      <c r="T13" s="32">
        <v>0.4902777777777777</v>
      </c>
      <c r="U13" s="451">
        <f t="shared" si="14"/>
        <v>4.9999999999999822</v>
      </c>
      <c r="V13" s="461">
        <f t="shared" si="13"/>
        <v>121.99999999999997</v>
      </c>
      <c r="W13" s="16">
        <f>T13</f>
        <v>0.4902777777777777</v>
      </c>
      <c r="X13" s="16">
        <f>S14</f>
        <v>0.52986111111111101</v>
      </c>
      <c r="Y13" s="16"/>
      <c r="Z13" s="16"/>
      <c r="AA13" s="607"/>
      <c r="AB13" s="608"/>
      <c r="AC13" s="18"/>
      <c r="AD13" s="18"/>
      <c r="AE13" s="14">
        <f t="shared" si="8"/>
        <v>-73.770491803278219</v>
      </c>
      <c r="AF13" s="454">
        <f t="shared" si="9"/>
        <v>0.95081967213114782</v>
      </c>
      <c r="AG13" s="616"/>
    </row>
    <row r="14" spans="1:33" ht="15.75" customHeight="1">
      <c r="A14" s="640" t="s">
        <v>369</v>
      </c>
      <c r="B14" s="27" t="s">
        <v>8</v>
      </c>
      <c r="C14" s="638" t="s">
        <v>10</v>
      </c>
      <c r="D14" s="639"/>
      <c r="E14" s="27">
        <v>39.799999999999997</v>
      </c>
      <c r="F14" s="462">
        <v>3371</v>
      </c>
      <c r="G14" s="451">
        <f t="shared" si="11"/>
        <v>134165.79999999999</v>
      </c>
      <c r="H14" s="31" t="s">
        <v>40</v>
      </c>
      <c r="I14" s="460">
        <v>17</v>
      </c>
      <c r="J14" s="29">
        <v>1500</v>
      </c>
      <c r="K14" s="12">
        <f t="shared" si="1"/>
        <v>88.235294117647058</v>
      </c>
      <c r="L14" s="460">
        <v>17</v>
      </c>
      <c r="M14" s="13">
        <f t="shared" si="12"/>
        <v>1434.4680851063833</v>
      </c>
      <c r="N14" s="12">
        <f t="shared" si="3"/>
        <v>84.380475594493134</v>
      </c>
      <c r="O14" s="14">
        <f t="shared" si="4"/>
        <v>0</v>
      </c>
      <c r="P14" s="15">
        <f t="shared" si="5"/>
        <v>-3.8548185231539236</v>
      </c>
      <c r="Q14" s="454">
        <f t="shared" si="6"/>
        <v>0.9563120567375889</v>
      </c>
      <c r="R14" s="616"/>
      <c r="S14" s="32">
        <v>0.52986111111111101</v>
      </c>
      <c r="T14" s="32">
        <v>0.62777777777777766</v>
      </c>
      <c r="U14" s="451">
        <f t="shared" si="14"/>
        <v>56.999999999999957</v>
      </c>
      <c r="V14" s="461">
        <f t="shared" si="13"/>
        <v>140.99999999999997</v>
      </c>
      <c r="W14" s="16"/>
      <c r="X14" s="16"/>
      <c r="Y14" s="19"/>
      <c r="Z14" s="19"/>
      <c r="AA14" s="607"/>
      <c r="AB14" s="608"/>
      <c r="AC14" s="18"/>
      <c r="AD14" s="18"/>
      <c r="AE14" s="14">
        <f t="shared" si="8"/>
        <v>-65.531914893616658</v>
      </c>
      <c r="AF14" s="454">
        <f t="shared" si="9"/>
        <v>0.9563120567375889</v>
      </c>
      <c r="AG14" s="616"/>
    </row>
    <row r="15" spans="1:33" ht="15.75" customHeight="1">
      <c r="A15" s="640" t="s">
        <v>369</v>
      </c>
      <c r="B15" s="27" t="s">
        <v>8</v>
      </c>
      <c r="C15" s="638" t="s">
        <v>9</v>
      </c>
      <c r="D15" s="639"/>
      <c r="E15" s="27">
        <v>39.619999999999997</v>
      </c>
      <c r="F15" s="462">
        <v>2412</v>
      </c>
      <c r="G15" s="451">
        <f t="shared" si="11"/>
        <v>95563.439999999988</v>
      </c>
      <c r="H15" s="31" t="s">
        <v>40</v>
      </c>
      <c r="I15" s="460">
        <v>19</v>
      </c>
      <c r="J15" s="29">
        <v>1500</v>
      </c>
      <c r="K15" s="12">
        <f t="shared" si="1"/>
        <v>78.94736842105263</v>
      </c>
      <c r="L15" s="460">
        <v>19</v>
      </c>
      <c r="M15" s="13">
        <f t="shared" si="12"/>
        <v>1432.8712871287134</v>
      </c>
      <c r="N15" s="12">
        <f t="shared" si="3"/>
        <v>75.414278269932282</v>
      </c>
      <c r="O15" s="14">
        <f t="shared" si="4"/>
        <v>0</v>
      </c>
      <c r="P15" s="15">
        <f t="shared" si="5"/>
        <v>-3.5330901511203479</v>
      </c>
      <c r="Q15" s="454">
        <f t="shared" si="6"/>
        <v>0.95524752475247554</v>
      </c>
      <c r="R15" s="616"/>
      <c r="S15" s="32">
        <v>0.63124999999999987</v>
      </c>
      <c r="T15" s="32">
        <v>0.70138888888888873</v>
      </c>
      <c r="U15" s="451">
        <f t="shared" si="14"/>
        <v>4.9999999999999822</v>
      </c>
      <c r="V15" s="461">
        <f t="shared" si="13"/>
        <v>100.99999999999996</v>
      </c>
      <c r="W15" s="16"/>
      <c r="X15" s="16"/>
      <c r="Y15" s="19"/>
      <c r="Z15" s="19"/>
      <c r="AA15" s="607"/>
      <c r="AB15" s="608"/>
      <c r="AC15" s="18"/>
      <c r="AD15" s="18"/>
      <c r="AE15" s="14">
        <f t="shared" si="8"/>
        <v>-67.128712871286552</v>
      </c>
      <c r="AF15" s="454">
        <f t="shared" si="9"/>
        <v>0.95524752475247565</v>
      </c>
      <c r="AG15" s="616"/>
    </row>
    <row r="16" spans="1:33" ht="16.5" customHeight="1">
      <c r="A16" s="640" t="s">
        <v>369</v>
      </c>
      <c r="B16" s="27" t="s">
        <v>461</v>
      </c>
      <c r="C16" s="658"/>
      <c r="D16" s="658"/>
      <c r="E16" s="455"/>
      <c r="F16" s="29"/>
      <c r="G16" s="13"/>
      <c r="H16" s="462"/>
      <c r="I16" s="21">
        <v>17.666666666666668</v>
      </c>
      <c r="J16" s="29">
        <v>1500</v>
      </c>
      <c r="K16" s="12">
        <f t="shared" si="1"/>
        <v>84.905660377358487</v>
      </c>
      <c r="L16" s="21">
        <v>17.666666666666668</v>
      </c>
      <c r="M16" s="13">
        <f>AVERAGE(M10:M15)</f>
        <v>1432.4103554767109</v>
      </c>
      <c r="N16" s="12">
        <f t="shared" si="3"/>
        <v>81.079831442077975</v>
      </c>
      <c r="O16" s="14">
        <f t="shared" si="4"/>
        <v>0</v>
      </c>
      <c r="P16" s="15">
        <f t="shared" si="5"/>
        <v>-3.8258289352805122</v>
      </c>
      <c r="Q16" s="454">
        <f t="shared" si="6"/>
        <v>0.95494023698447394</v>
      </c>
      <c r="R16" s="616"/>
      <c r="S16" s="32"/>
      <c r="T16" s="32"/>
      <c r="U16" s="12"/>
      <c r="V16" s="461"/>
      <c r="W16" s="12"/>
      <c r="X16" s="12"/>
      <c r="Y16" s="22">
        <f>SUM(Y10:Y15)</f>
        <v>0</v>
      </c>
      <c r="Z16" s="22">
        <f>SUM(Z10:Z15)</f>
        <v>0</v>
      </c>
      <c r="AA16" s="611"/>
      <c r="AB16" s="611"/>
      <c r="AC16" s="22">
        <v>6</v>
      </c>
      <c r="AD16" s="22">
        <f>SUM(AD10:AD15)</f>
        <v>0</v>
      </c>
      <c r="AE16" s="14">
        <f t="shared" si="8"/>
        <v>-67.589644523289053</v>
      </c>
      <c r="AF16" s="454">
        <f t="shared" si="9"/>
        <v>0.95494023698447394</v>
      </c>
      <c r="AG16" s="616"/>
    </row>
    <row r="17" spans="1:33" ht="16.5" customHeight="1">
      <c r="A17" s="636" t="s">
        <v>371</v>
      </c>
      <c r="B17" s="462" t="s">
        <v>1134</v>
      </c>
      <c r="C17" s="659" t="s">
        <v>1035</v>
      </c>
      <c r="D17" s="659"/>
      <c r="E17" s="27">
        <v>31.11</v>
      </c>
      <c r="F17" s="462">
        <v>3464</v>
      </c>
      <c r="G17" s="451">
        <f t="shared" ref="G17:G24" si="15">E17*F17</f>
        <v>107765.04</v>
      </c>
      <c r="H17" s="31" t="s">
        <v>40</v>
      </c>
      <c r="I17" s="460">
        <v>14</v>
      </c>
      <c r="J17" s="29">
        <v>2000</v>
      </c>
      <c r="K17" s="12">
        <f t="shared" si="1"/>
        <v>142.85714285714286</v>
      </c>
      <c r="L17" s="460">
        <v>14</v>
      </c>
      <c r="M17" s="13">
        <f t="shared" ref="M17:M24" si="16">F17/V17*60</f>
        <v>1906.7889908256882</v>
      </c>
      <c r="N17" s="12">
        <f t="shared" si="3"/>
        <v>136.19921363040629</v>
      </c>
      <c r="O17" s="14">
        <f t="shared" si="4"/>
        <v>0</v>
      </c>
      <c r="P17" s="15">
        <f t="shared" si="5"/>
        <v>-6.6579292267365702</v>
      </c>
      <c r="Q17" s="454">
        <f t="shared" si="6"/>
        <v>0.95339449541284405</v>
      </c>
      <c r="R17" s="616">
        <f>Q25</f>
        <v>0.95731916645680992</v>
      </c>
      <c r="S17" s="32">
        <v>8.3333333333333329E-2</v>
      </c>
      <c r="T17" s="32">
        <v>0.15902777777777777</v>
      </c>
      <c r="U17" s="451"/>
      <c r="V17" s="461">
        <f t="shared" ref="V17:V24" si="17">(T17-S17)*24*60</f>
        <v>108.99999999999999</v>
      </c>
      <c r="W17" s="16">
        <f>T17</f>
        <v>0.15902777777777777</v>
      </c>
      <c r="X17" s="16">
        <f>S18</f>
        <v>0.17986111111111111</v>
      </c>
      <c r="Y17" s="20"/>
      <c r="Z17" s="20"/>
      <c r="AA17" s="612"/>
      <c r="AB17" s="612"/>
      <c r="AC17" s="18">
        <v>8</v>
      </c>
      <c r="AD17" s="18"/>
      <c r="AE17" s="14">
        <f t="shared" si="8"/>
        <v>-93.211009174311812</v>
      </c>
      <c r="AF17" s="454">
        <f t="shared" si="9"/>
        <v>0.95339449541284405</v>
      </c>
      <c r="AG17" s="616">
        <f>AF25</f>
        <v>0.95731916645680992</v>
      </c>
    </row>
    <row r="18" spans="1:33" ht="16.5" customHeight="1">
      <c r="A18" s="637" t="s">
        <v>371</v>
      </c>
      <c r="B18" s="462" t="s">
        <v>11</v>
      </c>
      <c r="C18" s="659" t="s">
        <v>67</v>
      </c>
      <c r="D18" s="659"/>
      <c r="E18" s="27">
        <v>38.619999999999997</v>
      </c>
      <c r="F18" s="462">
        <v>2294</v>
      </c>
      <c r="G18" s="451">
        <f t="shared" si="15"/>
        <v>88594.28</v>
      </c>
      <c r="H18" s="31" t="s">
        <v>40</v>
      </c>
      <c r="I18" s="460">
        <v>24</v>
      </c>
      <c r="J18" s="29">
        <v>1500</v>
      </c>
      <c r="K18" s="12">
        <f t="shared" si="1"/>
        <v>62.5</v>
      </c>
      <c r="L18" s="460">
        <v>24</v>
      </c>
      <c r="M18" s="13">
        <f t="shared" si="16"/>
        <v>1433.7499999999998</v>
      </c>
      <c r="N18" s="12">
        <f t="shared" si="3"/>
        <v>59.739583333333321</v>
      </c>
      <c r="O18" s="14">
        <f t="shared" si="4"/>
        <v>0</v>
      </c>
      <c r="P18" s="15">
        <f t="shared" si="5"/>
        <v>-2.7604166666666785</v>
      </c>
      <c r="Q18" s="454">
        <f t="shared" si="6"/>
        <v>0.95583333333333309</v>
      </c>
      <c r="R18" s="616"/>
      <c r="S18" s="32">
        <v>0.17986111111111111</v>
      </c>
      <c r="T18" s="32">
        <v>0.24652777777777779</v>
      </c>
      <c r="U18" s="451">
        <f t="shared" ref="U18:U24" si="18">IF(S18=TIME(17,0,0),"",(S18-T17)*24*60)</f>
        <v>30.000000000000014</v>
      </c>
      <c r="V18" s="461">
        <f t="shared" si="17"/>
        <v>96.000000000000014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-66.250000000000227</v>
      </c>
      <c r="AF18" s="454">
        <f t="shared" si="9"/>
        <v>0.9558333333333332</v>
      </c>
      <c r="AG18" s="616"/>
    </row>
    <row r="19" spans="1:33" ht="16.5" customHeight="1">
      <c r="A19" s="637" t="s">
        <v>371</v>
      </c>
      <c r="B19" s="462" t="s">
        <v>11</v>
      </c>
      <c r="C19" s="659" t="s">
        <v>12</v>
      </c>
      <c r="D19" s="659"/>
      <c r="E19" s="27">
        <v>41</v>
      </c>
      <c r="F19" s="462">
        <v>1941</v>
      </c>
      <c r="G19" s="451">
        <f t="shared" si="15"/>
        <v>79581</v>
      </c>
      <c r="H19" s="31" t="s">
        <v>40</v>
      </c>
      <c r="I19" s="460">
        <v>26</v>
      </c>
      <c r="J19" s="29">
        <v>1500</v>
      </c>
      <c r="K19" s="12">
        <f t="shared" si="1"/>
        <v>57.692307692307693</v>
      </c>
      <c r="L19" s="460">
        <v>26</v>
      </c>
      <c r="M19" s="13">
        <f t="shared" si="16"/>
        <v>1437.7777777777774</v>
      </c>
      <c r="N19" s="12">
        <f t="shared" si="3"/>
        <v>55.29914529914528</v>
      </c>
      <c r="O19" s="14">
        <f t="shared" si="4"/>
        <v>0</v>
      </c>
      <c r="P19" s="15">
        <f t="shared" si="5"/>
        <v>-2.3931623931624131</v>
      </c>
      <c r="Q19" s="454">
        <f t="shared" si="6"/>
        <v>0.95851851851851821</v>
      </c>
      <c r="R19" s="616"/>
      <c r="S19" s="32">
        <v>0.25208333333333333</v>
      </c>
      <c r="T19" s="32">
        <v>0.30833333333333335</v>
      </c>
      <c r="U19" s="451">
        <f t="shared" si="18"/>
        <v>7.9999999999999716</v>
      </c>
      <c r="V19" s="461">
        <f t="shared" si="17"/>
        <v>81.000000000000028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-62.222222222222626</v>
      </c>
      <c r="AF19" s="454">
        <f t="shared" si="9"/>
        <v>0.95851851851851821</v>
      </c>
      <c r="AG19" s="616"/>
    </row>
    <row r="20" spans="1:33" ht="16.5" customHeight="1">
      <c r="A20" s="637" t="s">
        <v>371</v>
      </c>
      <c r="B20" s="462" t="s">
        <v>5</v>
      </c>
      <c r="C20" s="659" t="s">
        <v>66</v>
      </c>
      <c r="D20" s="659"/>
      <c r="E20" s="27">
        <v>37.03</v>
      </c>
      <c r="F20" s="462">
        <v>3415</v>
      </c>
      <c r="G20" s="451">
        <f t="shared" si="15"/>
        <v>126457.45</v>
      </c>
      <c r="H20" s="31" t="s">
        <v>40</v>
      </c>
      <c r="I20" s="460">
        <v>13</v>
      </c>
      <c r="J20" s="29">
        <v>1500</v>
      </c>
      <c r="K20" s="12">
        <f t="shared" si="1"/>
        <v>115.38461538461539</v>
      </c>
      <c r="L20" s="460">
        <v>13</v>
      </c>
      <c r="M20" s="13">
        <f t="shared" si="16"/>
        <v>1432.8671328671333</v>
      </c>
      <c r="N20" s="12">
        <f t="shared" si="3"/>
        <v>110.22054868208717</v>
      </c>
      <c r="O20" s="14">
        <f t="shared" si="4"/>
        <v>0</v>
      </c>
      <c r="P20" s="15">
        <f t="shared" si="5"/>
        <v>-5.164066702528217</v>
      </c>
      <c r="Q20" s="454">
        <f t="shared" si="6"/>
        <v>0.95524475524475549</v>
      </c>
      <c r="R20" s="616"/>
      <c r="S20" s="32">
        <v>0.31180555555555556</v>
      </c>
      <c r="T20" s="32">
        <v>0.41111111111111109</v>
      </c>
      <c r="U20" s="451">
        <f t="shared" si="18"/>
        <v>4.9999999999999822</v>
      </c>
      <c r="V20" s="461">
        <f t="shared" si="17"/>
        <v>142.99999999999997</v>
      </c>
      <c r="W20" s="16"/>
      <c r="X20" s="16"/>
      <c r="Y20" s="16"/>
      <c r="Z20" s="16"/>
      <c r="AA20" s="612"/>
      <c r="AB20" s="612"/>
      <c r="AC20" s="18"/>
      <c r="AD20" s="18"/>
      <c r="AE20" s="14">
        <f t="shared" si="8"/>
        <v>-67.13286713286675</v>
      </c>
      <c r="AF20" s="454">
        <f t="shared" si="9"/>
        <v>0.95524475524475549</v>
      </c>
      <c r="AG20" s="616"/>
    </row>
    <row r="21" spans="1:33" ht="16.5" customHeight="1">
      <c r="A21" s="637" t="s">
        <v>371</v>
      </c>
      <c r="B21" s="462" t="s">
        <v>5</v>
      </c>
      <c r="C21" s="659" t="s">
        <v>6</v>
      </c>
      <c r="D21" s="659"/>
      <c r="E21" s="27">
        <v>50.67</v>
      </c>
      <c r="F21" s="462">
        <v>1817</v>
      </c>
      <c r="G21" s="451">
        <f t="shared" si="15"/>
        <v>92067.39</v>
      </c>
      <c r="H21" s="31" t="s">
        <v>40</v>
      </c>
      <c r="I21" s="460">
        <v>17</v>
      </c>
      <c r="J21" s="29">
        <v>2000</v>
      </c>
      <c r="K21" s="12">
        <f t="shared" si="1"/>
        <v>117.64705882352941</v>
      </c>
      <c r="L21" s="460">
        <v>17</v>
      </c>
      <c r="M21" s="13">
        <f t="shared" si="16"/>
        <v>1912.6315789473699</v>
      </c>
      <c r="N21" s="12">
        <f t="shared" si="3"/>
        <v>112.50773993808059</v>
      </c>
      <c r="O21" s="14">
        <f t="shared" si="4"/>
        <v>0</v>
      </c>
      <c r="P21" s="15">
        <f t="shared" si="5"/>
        <v>-5.1393188854488159</v>
      </c>
      <c r="Q21" s="454">
        <f t="shared" si="6"/>
        <v>0.95631578947368512</v>
      </c>
      <c r="R21" s="616"/>
      <c r="S21" s="32">
        <v>0.70833333333333337</v>
      </c>
      <c r="T21" s="32">
        <v>0.74791666666666667</v>
      </c>
      <c r="U21" s="451" t="str">
        <f t="shared" si="18"/>
        <v/>
      </c>
      <c r="V21" s="461">
        <f t="shared" si="17"/>
        <v>56.999999999999957</v>
      </c>
      <c r="W21" s="16"/>
      <c r="X21" s="16"/>
      <c r="Y21" s="16"/>
      <c r="Z21" s="16"/>
      <c r="AA21" s="612"/>
      <c r="AB21" s="612"/>
      <c r="AC21" s="18"/>
      <c r="AD21" s="18"/>
      <c r="AE21" s="14">
        <f t="shared" si="8"/>
        <v>-87.368421052630083</v>
      </c>
      <c r="AF21" s="454">
        <f t="shared" si="9"/>
        <v>0.95631578947368501</v>
      </c>
      <c r="AG21" s="616"/>
    </row>
    <row r="22" spans="1:33" ht="16.5" customHeight="1">
      <c r="A22" s="637" t="s">
        <v>371</v>
      </c>
      <c r="B22" s="462" t="s">
        <v>5</v>
      </c>
      <c r="C22" s="464" t="s">
        <v>615</v>
      </c>
      <c r="D22" s="465"/>
      <c r="E22" s="27">
        <v>54.5</v>
      </c>
      <c r="F22" s="462">
        <v>1000</v>
      </c>
      <c r="G22" s="451">
        <f t="shared" si="15"/>
        <v>54500</v>
      </c>
      <c r="H22" s="31">
        <v>2</v>
      </c>
      <c r="I22" s="460">
        <v>20</v>
      </c>
      <c r="J22" s="29">
        <v>1500</v>
      </c>
      <c r="K22" s="12">
        <f t="shared" si="1"/>
        <v>75</v>
      </c>
      <c r="L22" s="460">
        <v>20</v>
      </c>
      <c r="M22" s="13">
        <f t="shared" si="16"/>
        <v>1428.5714285714282</v>
      </c>
      <c r="N22" s="12">
        <f t="shared" si="3"/>
        <v>71.428571428571416</v>
      </c>
      <c r="O22" s="14">
        <f t="shared" si="4"/>
        <v>0</v>
      </c>
      <c r="P22" s="15">
        <f t="shared" si="5"/>
        <v>-3.5714285714285836</v>
      </c>
      <c r="Q22" s="454">
        <f t="shared" si="6"/>
        <v>0.95238095238095222</v>
      </c>
      <c r="R22" s="616"/>
      <c r="S22" s="32">
        <v>0.75208333333333333</v>
      </c>
      <c r="T22" s="32">
        <v>0.78125</v>
      </c>
      <c r="U22" s="451">
        <f t="shared" si="18"/>
        <v>5.9999999999999787</v>
      </c>
      <c r="V22" s="461">
        <f t="shared" si="17"/>
        <v>42.000000000000014</v>
      </c>
      <c r="W22" s="16"/>
      <c r="X22" s="16"/>
      <c r="Y22" s="19"/>
      <c r="Z22" s="19"/>
      <c r="AA22" s="458"/>
      <c r="AB22" s="459"/>
      <c r="AC22" s="18"/>
      <c r="AD22" s="18"/>
      <c r="AE22" s="14">
        <f t="shared" si="8"/>
        <v>-71.428571428571786</v>
      </c>
      <c r="AF22" s="454">
        <f t="shared" si="9"/>
        <v>0.95238095238095211</v>
      </c>
      <c r="AG22" s="616"/>
    </row>
    <row r="23" spans="1:33" ht="16.5" customHeight="1">
      <c r="A23" s="637" t="s">
        <v>371</v>
      </c>
      <c r="B23" s="462" t="s">
        <v>5</v>
      </c>
      <c r="C23" s="464" t="s">
        <v>18</v>
      </c>
      <c r="D23" s="465"/>
      <c r="E23" s="27">
        <v>50.49</v>
      </c>
      <c r="F23" s="462">
        <v>2145</v>
      </c>
      <c r="G23" s="451">
        <f t="shared" si="15"/>
        <v>108301.05</v>
      </c>
      <c r="H23" s="31" t="s">
        <v>40</v>
      </c>
      <c r="I23" s="460">
        <v>15</v>
      </c>
      <c r="J23" s="29">
        <v>2000</v>
      </c>
      <c r="K23" s="12">
        <f t="shared" si="1"/>
        <v>133.33333333333334</v>
      </c>
      <c r="L23" s="460">
        <v>15</v>
      </c>
      <c r="M23" s="13">
        <f t="shared" si="16"/>
        <v>1920.8955223880621</v>
      </c>
      <c r="N23" s="12">
        <f t="shared" si="3"/>
        <v>128.05970149253747</v>
      </c>
      <c r="O23" s="14">
        <f t="shared" si="4"/>
        <v>0</v>
      </c>
      <c r="P23" s="15">
        <f t="shared" si="5"/>
        <v>-5.273631840795872</v>
      </c>
      <c r="Q23" s="454">
        <f t="shared" si="6"/>
        <v>0.96044776119403097</v>
      </c>
      <c r="R23" s="616"/>
      <c r="S23" s="32">
        <v>0.78541666666666665</v>
      </c>
      <c r="T23" s="32">
        <v>0.83194444444444438</v>
      </c>
      <c r="U23" s="451">
        <f t="shared" si="18"/>
        <v>5.9999999999999787</v>
      </c>
      <c r="V23" s="461">
        <f t="shared" si="17"/>
        <v>66.999999999999915</v>
      </c>
      <c r="W23" s="16">
        <f>T23</f>
        <v>0.83194444444444438</v>
      </c>
      <c r="X23" s="16">
        <f>S24</f>
        <v>0.87152777777777768</v>
      </c>
      <c r="Y23" s="19"/>
      <c r="Z23" s="19"/>
      <c r="AA23" s="458"/>
      <c r="AB23" s="459"/>
      <c r="AC23" s="18"/>
      <c r="AD23" s="18"/>
      <c r="AE23" s="14">
        <f t="shared" si="8"/>
        <v>-79.104477611937909</v>
      </c>
      <c r="AF23" s="454">
        <f t="shared" si="9"/>
        <v>0.96044776119403108</v>
      </c>
      <c r="AG23" s="616"/>
    </row>
    <row r="24" spans="1:33" ht="16.5" customHeight="1">
      <c r="A24" s="637" t="s">
        <v>371</v>
      </c>
      <c r="B24" s="462" t="s">
        <v>5</v>
      </c>
      <c r="C24" s="464" t="s">
        <v>615</v>
      </c>
      <c r="D24" s="465"/>
      <c r="E24" s="27">
        <v>54.5</v>
      </c>
      <c r="F24" s="462">
        <v>1378</v>
      </c>
      <c r="G24" s="451">
        <f t="shared" si="15"/>
        <v>75101</v>
      </c>
      <c r="H24" s="31" t="s">
        <v>40</v>
      </c>
      <c r="I24" s="460">
        <v>20</v>
      </c>
      <c r="J24" s="29">
        <v>1500</v>
      </c>
      <c r="K24" s="12">
        <f t="shared" si="1"/>
        <v>75</v>
      </c>
      <c r="L24" s="460">
        <v>20</v>
      </c>
      <c r="M24" s="13">
        <f t="shared" si="16"/>
        <v>1450.5263157894749</v>
      </c>
      <c r="N24" s="12">
        <f t="shared" si="3"/>
        <v>72.526315789473742</v>
      </c>
      <c r="O24" s="14">
        <f t="shared" si="4"/>
        <v>0</v>
      </c>
      <c r="P24" s="15">
        <f t="shared" si="5"/>
        <v>-2.4736842105262582</v>
      </c>
      <c r="Q24" s="454">
        <f t="shared" si="6"/>
        <v>0.96701754385964989</v>
      </c>
      <c r="R24" s="616"/>
      <c r="S24" s="32">
        <v>0.87152777777777768</v>
      </c>
      <c r="T24" s="32">
        <v>0.91111111111111098</v>
      </c>
      <c r="U24" s="451">
        <f t="shared" si="18"/>
        <v>56.999999999999957</v>
      </c>
      <c r="V24" s="461">
        <f t="shared" si="17"/>
        <v>56.999999999999957</v>
      </c>
      <c r="W24" s="16"/>
      <c r="X24" s="16"/>
      <c r="Y24" s="19"/>
      <c r="Z24" s="19"/>
      <c r="AA24" s="458"/>
      <c r="AB24" s="459"/>
      <c r="AC24" s="18"/>
      <c r="AD24" s="18"/>
      <c r="AE24" s="14">
        <f t="shared" si="8"/>
        <v>-49.473684210525107</v>
      </c>
      <c r="AF24" s="454">
        <f t="shared" si="9"/>
        <v>0.96701754385964989</v>
      </c>
      <c r="AG24" s="616"/>
    </row>
    <row r="25" spans="1:33" ht="16.5" customHeight="1">
      <c r="A25" s="637" t="s">
        <v>371</v>
      </c>
      <c r="B25" s="27" t="s">
        <v>461</v>
      </c>
      <c r="C25" s="658"/>
      <c r="D25" s="658"/>
      <c r="E25" s="455"/>
      <c r="F25" s="28"/>
      <c r="G25" s="12"/>
      <c r="H25" s="462"/>
      <c r="I25" s="21">
        <v>18.625</v>
      </c>
      <c r="J25" s="29">
        <v>1687.5</v>
      </c>
      <c r="K25" s="12">
        <f t="shared" si="1"/>
        <v>90.604026845637577</v>
      </c>
      <c r="L25" s="21">
        <v>18.625</v>
      </c>
      <c r="M25" s="13">
        <f>AVERAGE(M17:M24)</f>
        <v>1615.4760933958667</v>
      </c>
      <c r="N25" s="12">
        <f t="shared" si="3"/>
        <v>86.736971457496196</v>
      </c>
      <c r="O25" s="14">
        <f t="shared" si="4"/>
        <v>0</v>
      </c>
      <c r="P25" s="15">
        <f t="shared" si="5"/>
        <v>-3.8670553881413809</v>
      </c>
      <c r="Q25" s="454">
        <f t="shared" si="6"/>
        <v>0.95731916645680992</v>
      </c>
      <c r="R25" s="616"/>
      <c r="S25" s="32"/>
      <c r="T25" s="32"/>
      <c r="U25" s="451"/>
      <c r="V25" s="461"/>
      <c r="W25" s="12"/>
      <c r="X25" s="12"/>
      <c r="Y25" s="22">
        <f>SUM(Y17:Y24)</f>
        <v>0</v>
      </c>
      <c r="Z25" s="22">
        <f>SUM(Z17:Z24)</f>
        <v>0</v>
      </c>
      <c r="AA25" s="611"/>
      <c r="AB25" s="611"/>
      <c r="AC25" s="22">
        <v>8</v>
      </c>
      <c r="AD25" s="22">
        <f>SUM(AD17:AD24)</f>
        <v>0</v>
      </c>
      <c r="AE25" s="14">
        <f t="shared" si="8"/>
        <v>-72.023906604133344</v>
      </c>
      <c r="AF25" s="454">
        <f t="shared" si="9"/>
        <v>0.95731916645680992</v>
      </c>
      <c r="AG25" s="616"/>
    </row>
    <row r="26" spans="1:33" ht="15.75" customHeight="1">
      <c r="A26" s="634" t="s">
        <v>372</v>
      </c>
      <c r="B26" s="27" t="s">
        <v>5</v>
      </c>
      <c r="C26" s="659" t="s">
        <v>16</v>
      </c>
      <c r="D26" s="659"/>
      <c r="E26" s="27">
        <v>50.67</v>
      </c>
      <c r="F26" s="462">
        <v>2075</v>
      </c>
      <c r="G26" s="451">
        <f t="shared" ref="G26:G32" si="19">E26*F26</f>
        <v>105140.25</v>
      </c>
      <c r="H26" s="31" t="s">
        <v>40</v>
      </c>
      <c r="I26" s="460">
        <v>17</v>
      </c>
      <c r="J26" s="29">
        <v>2000</v>
      </c>
      <c r="K26" s="12">
        <f t="shared" si="1"/>
        <v>117.64705882352941</v>
      </c>
      <c r="L26" s="460">
        <v>17</v>
      </c>
      <c r="M26" s="13">
        <f t="shared" ref="M26:M32" si="20">F26/V26*60</f>
        <v>1915.3846153846162</v>
      </c>
      <c r="N26" s="12">
        <f t="shared" si="3"/>
        <v>112.66968325791859</v>
      </c>
      <c r="O26" s="14">
        <f t="shared" si="4"/>
        <v>0</v>
      </c>
      <c r="P26" s="15">
        <f t="shared" si="5"/>
        <v>-4.9773755656108136</v>
      </c>
      <c r="Q26" s="454">
        <f t="shared" si="6"/>
        <v>0.95769230769230806</v>
      </c>
      <c r="R26" s="616">
        <f>Q33</f>
        <v>0.96189712417831719</v>
      </c>
      <c r="S26" s="32">
        <v>0.20833333333333334</v>
      </c>
      <c r="T26" s="32">
        <v>0.25347222222222221</v>
      </c>
      <c r="U26" s="451"/>
      <c r="V26" s="461">
        <f t="shared" ref="V26:V32" si="21">(T26-S26)*24*60</f>
        <v>64.999999999999972</v>
      </c>
      <c r="W26" s="16"/>
      <c r="X26" s="16"/>
      <c r="Y26" s="20"/>
      <c r="Z26" s="20"/>
      <c r="AA26" s="612"/>
      <c r="AB26" s="612"/>
      <c r="AC26" s="18">
        <v>7</v>
      </c>
      <c r="AD26" s="18"/>
      <c r="AE26" s="14">
        <f t="shared" si="8"/>
        <v>-84.615384615383846</v>
      </c>
      <c r="AF26" s="454">
        <f t="shared" si="9"/>
        <v>0.95769230769230806</v>
      </c>
      <c r="AG26" s="616">
        <f>AF33</f>
        <v>0.96189712417831719</v>
      </c>
    </row>
    <row r="27" spans="1:33" ht="15.75" customHeight="1">
      <c r="A27" s="635" t="s">
        <v>372</v>
      </c>
      <c r="B27" s="27" t="s">
        <v>5</v>
      </c>
      <c r="C27" s="659" t="s">
        <v>17</v>
      </c>
      <c r="D27" s="659"/>
      <c r="E27" s="27">
        <v>57.73</v>
      </c>
      <c r="F27" s="462">
        <v>2720</v>
      </c>
      <c r="G27" s="451">
        <f t="shared" si="19"/>
        <v>157025.60000000001</v>
      </c>
      <c r="H27" s="31" t="s">
        <v>40</v>
      </c>
      <c r="I27" s="460">
        <v>14</v>
      </c>
      <c r="J27" s="29">
        <v>2000</v>
      </c>
      <c r="K27" s="12">
        <f t="shared" si="1"/>
        <v>142.85714285714286</v>
      </c>
      <c r="L27" s="460">
        <v>14</v>
      </c>
      <c r="M27" s="13">
        <f t="shared" si="20"/>
        <v>1919.9999999999995</v>
      </c>
      <c r="N27" s="12">
        <f t="shared" si="3"/>
        <v>137.14285714285711</v>
      </c>
      <c r="O27" s="14">
        <f t="shared" si="4"/>
        <v>0</v>
      </c>
      <c r="P27" s="15">
        <f t="shared" si="5"/>
        <v>-5.7142857142857508</v>
      </c>
      <c r="Q27" s="454">
        <f t="shared" si="6"/>
        <v>0.95999999999999974</v>
      </c>
      <c r="R27" s="616"/>
      <c r="S27" s="32">
        <v>0.2583333333333333</v>
      </c>
      <c r="T27" s="32">
        <v>0.31736111111111109</v>
      </c>
      <c r="U27" s="451">
        <f t="shared" ref="U27:U32" si="22">IF(S27=TIME(17,0,0),"",(S27-T26)*24*60)</f>
        <v>6.9999999999999751</v>
      </c>
      <c r="V27" s="461">
        <f t="shared" si="21"/>
        <v>85.000000000000014</v>
      </c>
      <c r="W27" s="16"/>
      <c r="X27" s="451"/>
      <c r="Y27" s="451"/>
      <c r="Z27" s="451"/>
      <c r="AA27" s="612"/>
      <c r="AB27" s="612"/>
      <c r="AC27" s="18"/>
      <c r="AD27" s="18"/>
      <c r="AE27" s="14">
        <f t="shared" si="8"/>
        <v>-80.000000000000455</v>
      </c>
      <c r="AF27" s="454">
        <f t="shared" si="9"/>
        <v>0.95999999999999974</v>
      </c>
      <c r="AG27" s="616"/>
    </row>
    <row r="28" spans="1:33" ht="15.75" customHeight="1">
      <c r="A28" s="635" t="s">
        <v>372</v>
      </c>
      <c r="B28" s="27" t="s">
        <v>5</v>
      </c>
      <c r="C28" s="659" t="s">
        <v>60</v>
      </c>
      <c r="D28" s="659"/>
      <c r="E28" s="27">
        <v>53.27</v>
      </c>
      <c r="F28" s="462">
        <v>1704</v>
      </c>
      <c r="G28" s="451">
        <f t="shared" si="19"/>
        <v>90772.08</v>
      </c>
      <c r="H28" s="31" t="s">
        <v>40</v>
      </c>
      <c r="I28" s="460">
        <v>16</v>
      </c>
      <c r="J28" s="29">
        <v>2000</v>
      </c>
      <c r="K28" s="12">
        <f t="shared" si="1"/>
        <v>125</v>
      </c>
      <c r="L28" s="460">
        <v>16</v>
      </c>
      <c r="M28" s="13">
        <f t="shared" si="20"/>
        <v>1929.0566037735859</v>
      </c>
      <c r="N28" s="12">
        <f t="shared" si="3"/>
        <v>120.56603773584912</v>
      </c>
      <c r="O28" s="14">
        <f t="shared" si="4"/>
        <v>0</v>
      </c>
      <c r="P28" s="15">
        <f t="shared" si="5"/>
        <v>-4.4339622641508782</v>
      </c>
      <c r="Q28" s="454">
        <f t="shared" si="6"/>
        <v>0.96452830188679295</v>
      </c>
      <c r="R28" s="616"/>
      <c r="S28" s="32">
        <v>0.32152777777777775</v>
      </c>
      <c r="T28" s="32">
        <v>0.35833333333333328</v>
      </c>
      <c r="U28" s="451">
        <f t="shared" si="22"/>
        <v>5.9999999999999787</v>
      </c>
      <c r="V28" s="461">
        <f t="shared" si="21"/>
        <v>52.999999999999972</v>
      </c>
      <c r="W28" s="16"/>
      <c r="X28" s="451"/>
      <c r="Y28" s="451"/>
      <c r="Z28" s="451"/>
      <c r="AA28" s="612"/>
      <c r="AB28" s="612"/>
      <c r="AC28" s="18"/>
      <c r="AD28" s="18"/>
      <c r="AE28" s="14">
        <f t="shared" si="8"/>
        <v>-70.943396226414052</v>
      </c>
      <c r="AF28" s="454">
        <f t="shared" si="9"/>
        <v>0.96452830188679295</v>
      </c>
      <c r="AG28" s="616"/>
    </row>
    <row r="29" spans="1:33" ht="15.75" customHeight="1">
      <c r="A29" s="635" t="s">
        <v>372</v>
      </c>
      <c r="B29" s="27" t="s">
        <v>5</v>
      </c>
      <c r="C29" s="659" t="s">
        <v>65</v>
      </c>
      <c r="D29" s="659"/>
      <c r="E29" s="27">
        <v>56.43</v>
      </c>
      <c r="F29" s="462">
        <v>1707</v>
      </c>
      <c r="G29" s="451">
        <f t="shared" si="19"/>
        <v>96326.01</v>
      </c>
      <c r="H29" s="31" t="s">
        <v>40</v>
      </c>
      <c r="I29" s="460">
        <v>13</v>
      </c>
      <c r="J29" s="29">
        <v>2000</v>
      </c>
      <c r="K29" s="12">
        <f t="shared" si="1"/>
        <v>153.84615384615384</v>
      </c>
      <c r="L29" s="460">
        <v>13</v>
      </c>
      <c r="M29" s="13">
        <f t="shared" si="20"/>
        <v>1932.4528301886801</v>
      </c>
      <c r="N29" s="12">
        <f t="shared" si="3"/>
        <v>148.65021770682154</v>
      </c>
      <c r="O29" s="14">
        <f t="shared" si="4"/>
        <v>0</v>
      </c>
      <c r="P29" s="15">
        <f t="shared" si="5"/>
        <v>-5.1959361393323036</v>
      </c>
      <c r="Q29" s="454">
        <f t="shared" si="6"/>
        <v>0.96622641509434004</v>
      </c>
      <c r="R29" s="616"/>
      <c r="S29" s="32">
        <v>0.70833333333333337</v>
      </c>
      <c r="T29" s="32">
        <v>0.74513888888888891</v>
      </c>
      <c r="U29" s="451" t="str">
        <f t="shared" si="22"/>
        <v/>
      </c>
      <c r="V29" s="461">
        <f t="shared" si="21"/>
        <v>52.999999999999972</v>
      </c>
      <c r="W29" s="16"/>
      <c r="X29" s="451"/>
      <c r="Y29" s="451"/>
      <c r="Z29" s="451"/>
      <c r="AA29" s="612"/>
      <c r="AB29" s="612"/>
      <c r="AC29" s="18"/>
      <c r="AD29" s="18"/>
      <c r="AE29" s="14">
        <f t="shared" si="8"/>
        <v>-67.547169811319918</v>
      </c>
      <c r="AF29" s="454">
        <f t="shared" si="9"/>
        <v>0.96622641509434004</v>
      </c>
      <c r="AG29" s="616"/>
    </row>
    <row r="30" spans="1:33" ht="15.75" customHeight="1">
      <c r="A30" s="635" t="s">
        <v>372</v>
      </c>
      <c r="B30" s="27" t="s">
        <v>5</v>
      </c>
      <c r="C30" s="659" t="s">
        <v>1322</v>
      </c>
      <c r="D30" s="659"/>
      <c r="E30" s="27">
        <v>54.09</v>
      </c>
      <c r="F30" s="462">
        <v>2886</v>
      </c>
      <c r="G30" s="451">
        <f t="shared" si="19"/>
        <v>156103.74000000002</v>
      </c>
      <c r="H30" s="31" t="s">
        <v>40</v>
      </c>
      <c r="I30" s="460">
        <v>18</v>
      </c>
      <c r="J30" s="29">
        <v>2000</v>
      </c>
      <c r="K30" s="12">
        <f t="shared" si="1"/>
        <v>111.11111111111111</v>
      </c>
      <c r="L30" s="460">
        <v>18</v>
      </c>
      <c r="M30" s="13">
        <f t="shared" si="20"/>
        <v>1924.0000000000002</v>
      </c>
      <c r="N30" s="12">
        <f t="shared" si="3"/>
        <v>106.8888888888889</v>
      </c>
      <c r="O30" s="14">
        <f t="shared" si="4"/>
        <v>0</v>
      </c>
      <c r="P30" s="15">
        <f t="shared" si="5"/>
        <v>-4.2222222222222143</v>
      </c>
      <c r="Q30" s="454">
        <f t="shared" si="6"/>
        <v>0.96200000000000008</v>
      </c>
      <c r="R30" s="616"/>
      <c r="S30" s="32">
        <v>0.74861111111111112</v>
      </c>
      <c r="T30" s="32">
        <v>0.81111111111111112</v>
      </c>
      <c r="U30" s="451">
        <f t="shared" si="22"/>
        <v>4.9999999999999822</v>
      </c>
      <c r="V30" s="461">
        <f t="shared" si="21"/>
        <v>90</v>
      </c>
      <c r="W30" s="16"/>
      <c r="X30" s="16"/>
      <c r="Y30" s="451"/>
      <c r="Z30" s="451"/>
      <c r="AA30" s="612"/>
      <c r="AB30" s="612"/>
      <c r="AC30" s="18"/>
      <c r="AD30" s="18"/>
      <c r="AE30" s="14">
        <f t="shared" si="8"/>
        <v>-75.999999999999773</v>
      </c>
      <c r="AF30" s="454">
        <f t="shared" si="9"/>
        <v>0.96200000000000008</v>
      </c>
      <c r="AG30" s="616"/>
    </row>
    <row r="31" spans="1:33" ht="15.75" customHeight="1">
      <c r="A31" s="635" t="s">
        <v>372</v>
      </c>
      <c r="B31" s="27" t="s">
        <v>5</v>
      </c>
      <c r="C31" s="659" t="s">
        <v>1930</v>
      </c>
      <c r="D31" s="659"/>
      <c r="E31" s="27">
        <v>57.3</v>
      </c>
      <c r="F31" s="462">
        <v>1000</v>
      </c>
      <c r="G31" s="451">
        <f t="shared" si="19"/>
        <v>57300</v>
      </c>
      <c r="H31" s="31">
        <v>2</v>
      </c>
      <c r="I31" s="460">
        <v>16</v>
      </c>
      <c r="J31" s="29">
        <v>2000</v>
      </c>
      <c r="K31" s="12">
        <f t="shared" si="1"/>
        <v>125</v>
      </c>
      <c r="L31" s="460">
        <v>16</v>
      </c>
      <c r="M31" s="13">
        <f t="shared" si="20"/>
        <v>1935.483870967739</v>
      </c>
      <c r="N31" s="12">
        <f t="shared" si="3"/>
        <v>120.96774193548369</v>
      </c>
      <c r="O31" s="14">
        <f t="shared" si="4"/>
        <v>0</v>
      </c>
      <c r="P31" s="15">
        <f t="shared" si="5"/>
        <v>-4.0322580645163129</v>
      </c>
      <c r="Q31" s="454">
        <f t="shared" si="6"/>
        <v>0.96774193548386944</v>
      </c>
      <c r="R31" s="616"/>
      <c r="S31" s="32">
        <v>0.81458333333333333</v>
      </c>
      <c r="T31" s="32">
        <v>0.83611111111111114</v>
      </c>
      <c r="U31" s="451">
        <f t="shared" si="22"/>
        <v>4.9999999999999822</v>
      </c>
      <c r="V31" s="461">
        <f t="shared" si="21"/>
        <v>31.00000000000005</v>
      </c>
      <c r="W31" s="16">
        <f>T31</f>
        <v>0.83611111111111114</v>
      </c>
      <c r="X31" s="16">
        <f>S32</f>
        <v>0.87708333333333333</v>
      </c>
      <c r="Y31" s="20"/>
      <c r="Z31" s="20"/>
      <c r="AA31" s="612"/>
      <c r="AB31" s="612"/>
      <c r="AC31" s="18"/>
      <c r="AD31" s="18"/>
      <c r="AE31" s="14">
        <f t="shared" si="8"/>
        <v>-64.516129032261006</v>
      </c>
      <c r="AF31" s="454">
        <f t="shared" si="9"/>
        <v>0.96774193548386944</v>
      </c>
      <c r="AG31" s="616"/>
    </row>
    <row r="32" spans="1:33" ht="15.75" customHeight="1">
      <c r="A32" s="635" t="s">
        <v>372</v>
      </c>
      <c r="B32" s="27" t="s">
        <v>5</v>
      </c>
      <c r="C32" s="631" t="s">
        <v>1930</v>
      </c>
      <c r="D32" s="632"/>
      <c r="E32" s="27">
        <v>57.3</v>
      </c>
      <c r="F32" s="462">
        <v>1751</v>
      </c>
      <c r="G32" s="451">
        <f t="shared" si="19"/>
        <v>100332.29999999999</v>
      </c>
      <c r="H32" s="31" t="s">
        <v>40</v>
      </c>
      <c r="I32" s="460">
        <v>16</v>
      </c>
      <c r="J32" s="29">
        <v>2000</v>
      </c>
      <c r="K32" s="12">
        <f t="shared" si="1"/>
        <v>125</v>
      </c>
      <c r="L32" s="460">
        <v>16</v>
      </c>
      <c r="M32" s="13">
        <f t="shared" si="20"/>
        <v>1910.1818181818194</v>
      </c>
      <c r="N32" s="12">
        <f t="shared" si="3"/>
        <v>119.38636363636371</v>
      </c>
      <c r="O32" s="14">
        <f t="shared" si="4"/>
        <v>0</v>
      </c>
      <c r="P32" s="15">
        <f t="shared" si="5"/>
        <v>-5.6136363636362887</v>
      </c>
      <c r="Q32" s="454">
        <f t="shared" si="6"/>
        <v>0.95509090909090966</v>
      </c>
      <c r="R32" s="616"/>
      <c r="S32" s="32">
        <v>0.87708333333333333</v>
      </c>
      <c r="T32" s="32">
        <v>0.91527777777777775</v>
      </c>
      <c r="U32" s="451">
        <f t="shared" si="22"/>
        <v>58.99999999999995</v>
      </c>
      <c r="V32" s="461">
        <f t="shared" si="21"/>
        <v>54.999999999999964</v>
      </c>
      <c r="W32" s="16"/>
      <c r="X32" s="20"/>
      <c r="Y32" s="270"/>
      <c r="Z32" s="270"/>
      <c r="AA32" s="607"/>
      <c r="AB32" s="608"/>
      <c r="AC32" s="18"/>
      <c r="AD32" s="18"/>
      <c r="AE32" s="14">
        <f t="shared" si="8"/>
        <v>-89.818181818180619</v>
      </c>
      <c r="AF32" s="454">
        <f t="shared" si="9"/>
        <v>0.95509090909090966</v>
      </c>
      <c r="AG32" s="616"/>
    </row>
    <row r="33" spans="1:33" ht="15.75" customHeight="1">
      <c r="A33" s="635" t="s">
        <v>372</v>
      </c>
      <c r="B33" s="27" t="s">
        <v>461</v>
      </c>
      <c r="C33" s="658"/>
      <c r="D33" s="658"/>
      <c r="E33" s="455"/>
      <c r="F33" s="462"/>
      <c r="G33" s="451"/>
      <c r="H33" s="462"/>
      <c r="I33" s="21">
        <v>15.714285714285714</v>
      </c>
      <c r="J33" s="29">
        <v>2000</v>
      </c>
      <c r="K33" s="12">
        <f t="shared" si="1"/>
        <v>127.27272727272728</v>
      </c>
      <c r="L33" s="21">
        <v>15.714285714285714</v>
      </c>
      <c r="M33" s="13">
        <f>AVERAGE(M26:M32)</f>
        <v>1923.7942483566344</v>
      </c>
      <c r="N33" s="12">
        <f t="shared" si="3"/>
        <v>122.42327034996765</v>
      </c>
      <c r="O33" s="14">
        <f t="shared" si="4"/>
        <v>0</v>
      </c>
      <c r="P33" s="15">
        <f t="shared" si="5"/>
        <v>-4.8494569227596287</v>
      </c>
      <c r="Q33" s="454">
        <f t="shared" si="6"/>
        <v>0.96189712417831719</v>
      </c>
      <c r="R33" s="616"/>
      <c r="S33" s="32"/>
      <c r="T33" s="32"/>
      <c r="U33" s="12"/>
      <c r="V33" s="461"/>
      <c r="W33" s="12"/>
      <c r="X33" s="12"/>
      <c r="Y33" s="22">
        <f>SUM(Y26:Y32)</f>
        <v>0</v>
      </c>
      <c r="Z33" s="22">
        <f>SUM(Z26:Z32)</f>
        <v>0</v>
      </c>
      <c r="AA33" s="611"/>
      <c r="AB33" s="611"/>
      <c r="AC33" s="22">
        <v>7</v>
      </c>
      <c r="AD33" s="22">
        <f>SUM(AD26:AD32)</f>
        <v>0</v>
      </c>
      <c r="AE33" s="14">
        <f t="shared" si="8"/>
        <v>-76.205751643365602</v>
      </c>
      <c r="AF33" s="454">
        <f t="shared" si="9"/>
        <v>0.96189712417831719</v>
      </c>
      <c r="AG33" s="616"/>
    </row>
    <row r="34" spans="1:33" ht="15.75" customHeight="1">
      <c r="A34" s="633" t="s">
        <v>374</v>
      </c>
      <c r="B34" s="27" t="s">
        <v>20</v>
      </c>
      <c r="C34" s="659" t="s">
        <v>21</v>
      </c>
      <c r="D34" s="659"/>
      <c r="E34" s="27">
        <v>31.29</v>
      </c>
      <c r="F34" s="462">
        <v>5900</v>
      </c>
      <c r="G34" s="451">
        <f t="shared" ref="G34:G41" si="23">E34*F34</f>
        <v>184611</v>
      </c>
      <c r="H34" s="31">
        <v>2</v>
      </c>
      <c r="I34" s="460">
        <v>18</v>
      </c>
      <c r="J34" s="29">
        <v>2400</v>
      </c>
      <c r="K34" s="12">
        <f t="shared" si="1"/>
        <v>133.33333333333334</v>
      </c>
      <c r="L34" s="460">
        <v>18</v>
      </c>
      <c r="M34" s="13">
        <f t="shared" ref="M34:M41" si="24">F34/V34*60</f>
        <v>2283.8709677419356</v>
      </c>
      <c r="N34" s="12">
        <f t="shared" si="3"/>
        <v>126.88172043010753</v>
      </c>
      <c r="O34" s="14">
        <f t="shared" si="4"/>
        <v>0</v>
      </c>
      <c r="P34" s="15">
        <f t="shared" si="5"/>
        <v>-6.4516129032258078</v>
      </c>
      <c r="Q34" s="454">
        <f t="shared" si="6"/>
        <v>0.95161290322580649</v>
      </c>
      <c r="R34" s="616">
        <f>Q42</f>
        <v>0.95615126245652526</v>
      </c>
      <c r="S34" s="32">
        <v>8.3333333333333329E-2</v>
      </c>
      <c r="T34" s="32">
        <v>0.19097222222222221</v>
      </c>
      <c r="U34" s="451"/>
      <c r="V34" s="461">
        <f t="shared" ref="V34:V41" si="25">(T34-S34)*24*60</f>
        <v>154.99999999999997</v>
      </c>
      <c r="W34" s="16">
        <f>T34</f>
        <v>0.19097222222222221</v>
      </c>
      <c r="X34" s="16">
        <f>S35</f>
        <v>0.2097222222222222</v>
      </c>
      <c r="Y34" s="16"/>
      <c r="Z34" s="16"/>
      <c r="AA34" s="612"/>
      <c r="AB34" s="612"/>
      <c r="AC34" s="18">
        <v>8</v>
      </c>
      <c r="AD34" s="18"/>
      <c r="AE34" s="14">
        <f t="shared" si="8"/>
        <v>-116.1290322580644</v>
      </c>
      <c r="AF34" s="454">
        <f t="shared" si="9"/>
        <v>0.95161290322580649</v>
      </c>
      <c r="AG34" s="616">
        <f>AF42</f>
        <v>0.95615126245652526</v>
      </c>
    </row>
    <row r="35" spans="1:33" ht="15.75" customHeight="1">
      <c r="A35" s="633" t="s">
        <v>2385</v>
      </c>
      <c r="B35" s="27" t="s">
        <v>20</v>
      </c>
      <c r="C35" s="659" t="s">
        <v>22</v>
      </c>
      <c r="D35" s="659"/>
      <c r="E35" s="27">
        <v>26.37</v>
      </c>
      <c r="F35" s="462">
        <v>4200</v>
      </c>
      <c r="G35" s="451">
        <f t="shared" si="23"/>
        <v>110754</v>
      </c>
      <c r="H35" s="31">
        <v>2</v>
      </c>
      <c r="I35" s="460">
        <v>18</v>
      </c>
      <c r="J35" s="29">
        <v>2400</v>
      </c>
      <c r="K35" s="12">
        <f t="shared" si="1"/>
        <v>133.33333333333334</v>
      </c>
      <c r="L35" s="460">
        <v>18</v>
      </c>
      <c r="M35" s="13">
        <f t="shared" si="24"/>
        <v>2290.909090909091</v>
      </c>
      <c r="N35" s="12">
        <f t="shared" si="3"/>
        <v>127.27272727272728</v>
      </c>
      <c r="O35" s="14">
        <f t="shared" si="4"/>
        <v>0</v>
      </c>
      <c r="P35" s="15">
        <f t="shared" si="5"/>
        <v>-6.0606060606060623</v>
      </c>
      <c r="Q35" s="454">
        <f t="shared" si="6"/>
        <v>0.95454545454545459</v>
      </c>
      <c r="R35" s="616"/>
      <c r="S35" s="32">
        <v>0.2097222222222222</v>
      </c>
      <c r="T35" s="32">
        <v>0.28611111111111109</v>
      </c>
      <c r="U35" s="451">
        <f t="shared" ref="U35:U41" si="26">(S35-T34)*24*60</f>
        <v>26.999999999999986</v>
      </c>
      <c r="V35" s="461">
        <f t="shared" si="25"/>
        <v>110.00000000000001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-109.09090909090901</v>
      </c>
      <c r="AF35" s="454">
        <f t="shared" si="9"/>
        <v>0.95454545454545459</v>
      </c>
      <c r="AG35" s="616"/>
    </row>
    <row r="36" spans="1:33" ht="15.75" customHeight="1">
      <c r="A36" s="633" t="s">
        <v>374</v>
      </c>
      <c r="B36" s="27" t="s">
        <v>20</v>
      </c>
      <c r="C36" s="659" t="s">
        <v>57</v>
      </c>
      <c r="D36" s="659"/>
      <c r="E36" s="27">
        <v>26.18</v>
      </c>
      <c r="F36" s="462">
        <v>5100</v>
      </c>
      <c r="G36" s="451">
        <f t="shared" si="23"/>
        <v>133518</v>
      </c>
      <c r="H36" s="31">
        <v>2</v>
      </c>
      <c r="I36" s="460">
        <v>18</v>
      </c>
      <c r="J36" s="29">
        <v>2400</v>
      </c>
      <c r="K36" s="12">
        <f t="shared" si="1"/>
        <v>133.33333333333334</v>
      </c>
      <c r="L36" s="460">
        <v>18</v>
      </c>
      <c r="M36" s="13">
        <f t="shared" si="24"/>
        <v>2283.5820895522388</v>
      </c>
      <c r="N36" s="12">
        <f t="shared" si="3"/>
        <v>126.86567164179104</v>
      </c>
      <c r="O36" s="14">
        <f t="shared" si="4"/>
        <v>0</v>
      </c>
      <c r="P36" s="15">
        <f t="shared" si="5"/>
        <v>-6.467661691542304</v>
      </c>
      <c r="Q36" s="454">
        <f t="shared" si="6"/>
        <v>0.95149253731343275</v>
      </c>
      <c r="R36" s="616"/>
      <c r="S36" s="32">
        <v>0.2895833333333333</v>
      </c>
      <c r="T36" s="32">
        <v>0.38263888888888886</v>
      </c>
      <c r="U36" s="451">
        <f t="shared" si="26"/>
        <v>4.9999999999999822</v>
      </c>
      <c r="V36" s="461">
        <f t="shared" si="25"/>
        <v>134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-116.41791044776119</v>
      </c>
      <c r="AF36" s="454">
        <f t="shared" si="9"/>
        <v>0.95149253731343286</v>
      </c>
      <c r="AG36" s="616"/>
    </row>
    <row r="37" spans="1:33" ht="15.75" customHeight="1">
      <c r="A37" s="633" t="s">
        <v>374</v>
      </c>
      <c r="B37" s="27" t="s">
        <v>20</v>
      </c>
      <c r="C37" s="659" t="s">
        <v>59</v>
      </c>
      <c r="D37" s="659"/>
      <c r="E37" s="27">
        <v>25.99</v>
      </c>
      <c r="F37" s="462">
        <v>1581</v>
      </c>
      <c r="G37" s="451">
        <f t="shared" si="23"/>
        <v>41090.189999999995</v>
      </c>
      <c r="H37" s="31" t="s">
        <v>40</v>
      </c>
      <c r="I37" s="460">
        <v>18</v>
      </c>
      <c r="J37" s="29">
        <v>2400</v>
      </c>
      <c r="K37" s="12">
        <f t="shared" si="1"/>
        <v>133.33333333333334</v>
      </c>
      <c r="L37" s="460">
        <v>18</v>
      </c>
      <c r="M37" s="13">
        <f t="shared" si="24"/>
        <v>2313.6585365853653</v>
      </c>
      <c r="N37" s="12">
        <f t="shared" si="3"/>
        <v>128.53658536585363</v>
      </c>
      <c r="O37" s="14">
        <f t="shared" si="4"/>
        <v>0</v>
      </c>
      <c r="P37" s="15">
        <f t="shared" si="5"/>
        <v>-4.7967479674797175</v>
      </c>
      <c r="Q37" s="454">
        <f t="shared" si="6"/>
        <v>0.96402439024390207</v>
      </c>
      <c r="R37" s="616"/>
      <c r="S37" s="32">
        <v>0.38611111111111107</v>
      </c>
      <c r="T37" s="32">
        <v>0.4145833333333333</v>
      </c>
      <c r="U37" s="451">
        <f t="shared" si="26"/>
        <v>4.9999999999999822</v>
      </c>
      <c r="V37" s="461">
        <f t="shared" si="25"/>
        <v>41.000000000000014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-86.341463414634745</v>
      </c>
      <c r="AF37" s="454">
        <f t="shared" si="9"/>
        <v>0.96402439024390219</v>
      </c>
      <c r="AG37" s="616"/>
    </row>
    <row r="38" spans="1:33" ht="15.75" customHeight="1">
      <c r="A38" s="633" t="s">
        <v>374</v>
      </c>
      <c r="B38" s="27" t="s">
        <v>20</v>
      </c>
      <c r="C38" s="659" t="s">
        <v>23</v>
      </c>
      <c r="D38" s="659"/>
      <c r="E38" s="27">
        <v>25.99</v>
      </c>
      <c r="F38" s="462">
        <v>4424</v>
      </c>
      <c r="G38" s="451">
        <f t="shared" si="23"/>
        <v>114979.76</v>
      </c>
      <c r="H38" s="31" t="s">
        <v>40</v>
      </c>
      <c r="I38" s="460">
        <v>14</v>
      </c>
      <c r="J38" s="29">
        <v>2400</v>
      </c>
      <c r="K38" s="12">
        <f t="shared" si="1"/>
        <v>171.42857142857142</v>
      </c>
      <c r="L38" s="460">
        <v>14</v>
      </c>
      <c r="M38" s="13">
        <f t="shared" si="24"/>
        <v>2288.2758620689656</v>
      </c>
      <c r="N38" s="12">
        <f t="shared" si="3"/>
        <v>163.44827586206898</v>
      </c>
      <c r="O38" s="14">
        <f t="shared" si="4"/>
        <v>0</v>
      </c>
      <c r="P38" s="15">
        <f t="shared" si="5"/>
        <v>-7.9802955665024342</v>
      </c>
      <c r="Q38" s="454">
        <f t="shared" si="6"/>
        <v>0.95344827586206915</v>
      </c>
      <c r="R38" s="616"/>
      <c r="S38" s="32">
        <v>0.41874999999999996</v>
      </c>
      <c r="T38" s="32">
        <v>0.4993055555555555</v>
      </c>
      <c r="U38" s="451">
        <f t="shared" si="26"/>
        <v>5.9999999999999787</v>
      </c>
      <c r="V38" s="461">
        <f t="shared" si="25"/>
        <v>115.99999999999999</v>
      </c>
      <c r="W38" s="16">
        <f>T38</f>
        <v>0.4993055555555555</v>
      </c>
      <c r="X38" s="16">
        <f>S39</f>
        <v>0.53888888888888886</v>
      </c>
      <c r="Y38" s="16"/>
      <c r="Z38" s="16"/>
      <c r="AA38" s="612"/>
      <c r="AB38" s="612"/>
      <c r="AC38" s="18"/>
      <c r="AD38" s="18"/>
      <c r="AE38" s="14">
        <f t="shared" si="8"/>
        <v>-111.72413793103442</v>
      </c>
      <c r="AF38" s="454">
        <f t="shared" si="9"/>
        <v>0.95344827586206904</v>
      </c>
      <c r="AG38" s="616"/>
    </row>
    <row r="39" spans="1:33" ht="15.75" customHeight="1">
      <c r="A39" s="633" t="s">
        <v>374</v>
      </c>
      <c r="B39" s="27" t="s">
        <v>20</v>
      </c>
      <c r="C39" s="659" t="s">
        <v>21</v>
      </c>
      <c r="D39" s="659"/>
      <c r="E39" s="27">
        <v>31.29</v>
      </c>
      <c r="F39" s="462">
        <v>4581</v>
      </c>
      <c r="G39" s="451">
        <f t="shared" si="23"/>
        <v>143339.49</v>
      </c>
      <c r="H39" s="31" t="s">
        <v>40</v>
      </c>
      <c r="I39" s="460">
        <v>18</v>
      </c>
      <c r="J39" s="29">
        <v>2400</v>
      </c>
      <c r="K39" s="12">
        <f t="shared" si="1"/>
        <v>133.33333333333334</v>
      </c>
      <c r="L39" s="460">
        <v>18</v>
      </c>
      <c r="M39" s="13">
        <f t="shared" si="24"/>
        <v>2290.4999999999991</v>
      </c>
      <c r="N39" s="12">
        <f t="shared" si="3"/>
        <v>127.24999999999994</v>
      </c>
      <c r="O39" s="14">
        <f t="shared" si="4"/>
        <v>0</v>
      </c>
      <c r="P39" s="15">
        <f t="shared" si="5"/>
        <v>-6.0833333333333997</v>
      </c>
      <c r="Q39" s="454">
        <f t="shared" si="6"/>
        <v>0.95437499999999953</v>
      </c>
      <c r="R39" s="616"/>
      <c r="S39" s="32">
        <v>0.53888888888888886</v>
      </c>
      <c r="T39" s="32">
        <v>0.62222222222222223</v>
      </c>
      <c r="U39" s="451">
        <f t="shared" si="26"/>
        <v>57.000000000000036</v>
      </c>
      <c r="V39" s="461">
        <f t="shared" si="25"/>
        <v>120.00000000000006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-109.50000000000091</v>
      </c>
      <c r="AF39" s="454">
        <f t="shared" si="9"/>
        <v>0.95437499999999964</v>
      </c>
      <c r="AG39" s="616"/>
    </row>
    <row r="40" spans="1:33" ht="15.75" customHeight="1">
      <c r="A40" s="633" t="s">
        <v>374</v>
      </c>
      <c r="B40" s="27" t="s">
        <v>20</v>
      </c>
      <c r="C40" s="659" t="s">
        <v>22</v>
      </c>
      <c r="D40" s="659"/>
      <c r="E40" s="27">
        <v>26.37</v>
      </c>
      <c r="F40" s="462">
        <v>3000</v>
      </c>
      <c r="G40" s="451">
        <f t="shared" si="23"/>
        <v>79110</v>
      </c>
      <c r="H40" s="31" t="s">
        <v>40</v>
      </c>
      <c r="I40" s="460">
        <v>18</v>
      </c>
      <c r="J40" s="29">
        <v>2400</v>
      </c>
      <c r="K40" s="12">
        <f t="shared" si="1"/>
        <v>133.33333333333334</v>
      </c>
      <c r="L40" s="460">
        <v>18</v>
      </c>
      <c r="M40" s="13">
        <f t="shared" si="24"/>
        <v>2307.6923076923063</v>
      </c>
      <c r="N40" s="12">
        <f t="shared" si="3"/>
        <v>128.20512820512812</v>
      </c>
      <c r="O40" s="14">
        <f t="shared" si="4"/>
        <v>0</v>
      </c>
      <c r="P40" s="15">
        <f t="shared" si="5"/>
        <v>-5.1282051282052237</v>
      </c>
      <c r="Q40" s="454">
        <f t="shared" si="6"/>
        <v>0.96153846153846079</v>
      </c>
      <c r="R40" s="616"/>
      <c r="S40" s="32">
        <v>0.62638888888888888</v>
      </c>
      <c r="T40" s="32">
        <v>0.68055555555555558</v>
      </c>
      <c r="U40" s="451">
        <f t="shared" si="26"/>
        <v>5.9999999999999787</v>
      </c>
      <c r="V40" s="461">
        <f t="shared" si="25"/>
        <v>78.000000000000043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-92.307692307693742</v>
      </c>
      <c r="AF40" s="454">
        <f t="shared" si="9"/>
        <v>0.9615384615384609</v>
      </c>
      <c r="AG40" s="616"/>
    </row>
    <row r="41" spans="1:33" ht="15.75" customHeight="1">
      <c r="A41" s="633" t="s">
        <v>374</v>
      </c>
      <c r="B41" s="27" t="s">
        <v>20</v>
      </c>
      <c r="C41" s="464" t="s">
        <v>57</v>
      </c>
      <c r="D41" s="465"/>
      <c r="E41" s="27">
        <v>26.18</v>
      </c>
      <c r="F41" s="462">
        <v>3986</v>
      </c>
      <c r="G41" s="451">
        <f t="shared" si="23"/>
        <v>104353.48</v>
      </c>
      <c r="H41" s="31" t="s">
        <v>40</v>
      </c>
      <c r="I41" s="460">
        <v>18</v>
      </c>
      <c r="J41" s="29">
        <v>2400</v>
      </c>
      <c r="K41" s="12">
        <f t="shared" si="1"/>
        <v>133.33333333333334</v>
      </c>
      <c r="L41" s="460">
        <v>18</v>
      </c>
      <c r="M41" s="13">
        <f t="shared" si="24"/>
        <v>2299.6153846153857</v>
      </c>
      <c r="N41" s="12">
        <f t="shared" si="3"/>
        <v>127.75641025641032</v>
      </c>
      <c r="O41" s="14">
        <f t="shared" si="4"/>
        <v>0</v>
      </c>
      <c r="P41" s="15">
        <f t="shared" si="5"/>
        <v>-5.5769230769230234</v>
      </c>
      <c r="Q41" s="454">
        <f t="shared" si="6"/>
        <v>0.95817307692307729</v>
      </c>
      <c r="R41" s="616"/>
      <c r="S41" s="32">
        <v>0.68402777777777779</v>
      </c>
      <c r="T41" s="32">
        <v>0.75624999999999998</v>
      </c>
      <c r="U41" s="451">
        <f t="shared" si="26"/>
        <v>4.9999999999999822</v>
      </c>
      <c r="V41" s="461">
        <f t="shared" si="25"/>
        <v>103.99999999999994</v>
      </c>
      <c r="W41" s="16"/>
      <c r="X41" s="16"/>
      <c r="Y41" s="16"/>
      <c r="Z41" s="16"/>
      <c r="AA41" s="458"/>
      <c r="AB41" s="459"/>
      <c r="AC41" s="18"/>
      <c r="AD41" s="18"/>
      <c r="AE41" s="14">
        <f t="shared" si="8"/>
        <v>-100.38461538461434</v>
      </c>
      <c r="AF41" s="454">
        <f t="shared" si="9"/>
        <v>0.9581730769230774</v>
      </c>
      <c r="AG41" s="616"/>
    </row>
    <row r="42" spans="1:33" ht="15.75" customHeight="1">
      <c r="A42" s="633" t="s">
        <v>374</v>
      </c>
      <c r="B42" s="27" t="s">
        <v>461</v>
      </c>
      <c r="C42" s="658"/>
      <c r="D42" s="658"/>
      <c r="E42" s="455"/>
      <c r="F42" s="462"/>
      <c r="G42" s="451"/>
      <c r="H42" s="462"/>
      <c r="I42" s="21">
        <v>17.5</v>
      </c>
      <c r="J42" s="29">
        <v>2400</v>
      </c>
      <c r="K42" s="12">
        <f t="shared" si="1"/>
        <v>137.14285714285714</v>
      </c>
      <c r="L42" s="21">
        <v>17.5</v>
      </c>
      <c r="M42" s="13">
        <f>AVERAGE(M34:M41)</f>
        <v>2294.7630298956606</v>
      </c>
      <c r="N42" s="12">
        <f t="shared" si="3"/>
        <v>131.12931599403774</v>
      </c>
      <c r="O42" s="14">
        <f t="shared" si="4"/>
        <v>0</v>
      </c>
      <c r="P42" s="15">
        <f t="shared" si="5"/>
        <v>-6.0135411488193995</v>
      </c>
      <c r="Q42" s="454">
        <f t="shared" si="6"/>
        <v>0.95615126245652526</v>
      </c>
      <c r="R42" s="616"/>
      <c r="S42" s="32"/>
      <c r="T42" s="32"/>
      <c r="U42" s="451"/>
      <c r="V42" s="461"/>
      <c r="W42" s="451"/>
      <c r="X42" s="451"/>
      <c r="Y42" s="22">
        <f>SUM(Y34:Y41)</f>
        <v>0</v>
      </c>
      <c r="Z42" s="22">
        <f>SUM(Z34:Z41)</f>
        <v>0</v>
      </c>
      <c r="AA42" s="611"/>
      <c r="AB42" s="611"/>
      <c r="AC42" s="22">
        <v>8</v>
      </c>
      <c r="AD42" s="22">
        <f>SUM(AD34:AD41)</f>
        <v>0</v>
      </c>
      <c r="AE42" s="14">
        <f t="shared" si="8"/>
        <v>-105.23697010433943</v>
      </c>
      <c r="AF42" s="454">
        <f t="shared" si="9"/>
        <v>0.95615126245652526</v>
      </c>
      <c r="AG42" s="616"/>
    </row>
    <row r="43" spans="1:33" ht="15.75" customHeight="1">
      <c r="A43" s="629" t="s">
        <v>375</v>
      </c>
      <c r="B43" s="27" t="s">
        <v>20</v>
      </c>
      <c r="C43" s="660" t="s">
        <v>58</v>
      </c>
      <c r="D43" s="660"/>
      <c r="E43" s="27">
        <v>26.18</v>
      </c>
      <c r="F43" s="462">
        <v>3800</v>
      </c>
      <c r="G43" s="451">
        <f t="shared" ref="G43:G50" si="27">E43*F43</f>
        <v>99484</v>
      </c>
      <c r="H43" s="31">
        <v>2</v>
      </c>
      <c r="I43" s="460">
        <v>20</v>
      </c>
      <c r="J43" s="29">
        <v>2400</v>
      </c>
      <c r="K43" s="12">
        <f t="shared" si="1"/>
        <v>120</v>
      </c>
      <c r="L43" s="460">
        <v>20</v>
      </c>
      <c r="M43" s="13">
        <f t="shared" ref="M43:M50" si="28">F43/V43*60</f>
        <v>2303.030303030303</v>
      </c>
      <c r="N43" s="12">
        <f t="shared" si="3"/>
        <v>115.15151515151516</v>
      </c>
      <c r="O43" s="14">
        <f t="shared" si="4"/>
        <v>0</v>
      </c>
      <c r="P43" s="15">
        <f t="shared" si="5"/>
        <v>-4.8484848484848442</v>
      </c>
      <c r="Q43" s="454">
        <f t="shared" si="6"/>
        <v>0.95959595959595967</v>
      </c>
      <c r="R43" s="616">
        <f>Q51</f>
        <v>0.95610640136079716</v>
      </c>
      <c r="S43" s="32">
        <v>8.3333333333333329E-2</v>
      </c>
      <c r="T43" s="32">
        <v>0.15208333333333332</v>
      </c>
      <c r="U43" s="451"/>
      <c r="V43" s="461">
        <f t="shared" ref="V43:V50" si="29">(T43-S43)*24*60</f>
        <v>99</v>
      </c>
      <c r="W43" s="20">
        <f>T43</f>
        <v>0.15208333333333332</v>
      </c>
      <c r="X43" s="20">
        <f>S44</f>
        <v>0.17013888888888887</v>
      </c>
      <c r="Y43" s="20"/>
      <c r="Z43" s="20"/>
      <c r="AA43" s="612"/>
      <c r="AB43" s="612"/>
      <c r="AC43" s="18">
        <v>8</v>
      </c>
      <c r="AD43" s="18"/>
      <c r="AE43" s="14">
        <f t="shared" si="8"/>
        <v>-96.969696969696997</v>
      </c>
      <c r="AF43" s="454">
        <f t="shared" si="9"/>
        <v>0.95959595959595956</v>
      </c>
      <c r="AG43" s="616">
        <f>AF51</f>
        <v>0.95610640136079716</v>
      </c>
    </row>
    <row r="44" spans="1:33" ht="15.75" customHeight="1">
      <c r="A44" s="629" t="s">
        <v>375</v>
      </c>
      <c r="B44" s="27" t="s">
        <v>20</v>
      </c>
      <c r="C44" s="660" t="s">
        <v>25</v>
      </c>
      <c r="D44" s="660"/>
      <c r="E44" s="27">
        <v>24.43</v>
      </c>
      <c r="F44" s="462">
        <v>4500</v>
      </c>
      <c r="G44" s="451">
        <f t="shared" si="27"/>
        <v>109935</v>
      </c>
      <c r="H44" s="31">
        <v>2</v>
      </c>
      <c r="I44" s="460">
        <v>14</v>
      </c>
      <c r="J44" s="29">
        <v>2400</v>
      </c>
      <c r="K44" s="12">
        <f t="shared" si="1"/>
        <v>171.42857142857142</v>
      </c>
      <c r="L44" s="460">
        <v>14</v>
      </c>
      <c r="M44" s="13">
        <f t="shared" si="28"/>
        <v>2288.1355932203387</v>
      </c>
      <c r="N44" s="12">
        <f t="shared" si="3"/>
        <v>163.43825665859563</v>
      </c>
      <c r="O44" s="14">
        <f t="shared" si="4"/>
        <v>0</v>
      </c>
      <c r="P44" s="15">
        <f t="shared" si="5"/>
        <v>-7.9903147699757824</v>
      </c>
      <c r="Q44" s="454">
        <f t="shared" si="6"/>
        <v>0.95338983050847459</v>
      </c>
      <c r="R44" s="616"/>
      <c r="S44" s="32">
        <v>0.17013888888888887</v>
      </c>
      <c r="T44" s="32">
        <v>0.25208333333333333</v>
      </c>
      <c r="U44" s="451">
        <f t="shared" ref="U44:U50" si="30">(S44-T43)*24*60</f>
        <v>25.999999999999986</v>
      </c>
      <c r="V44" s="461">
        <f t="shared" si="29"/>
        <v>118.00000000000001</v>
      </c>
      <c r="W44" s="451"/>
      <c r="X44" s="451"/>
      <c r="Y44" s="451"/>
      <c r="Z44" s="451"/>
      <c r="AA44" s="612"/>
      <c r="AB44" s="612"/>
      <c r="AC44" s="18"/>
      <c r="AD44" s="18"/>
      <c r="AE44" s="14">
        <f t="shared" si="8"/>
        <v>-111.86440677966129</v>
      </c>
      <c r="AF44" s="454">
        <f t="shared" si="9"/>
        <v>0.95338983050847448</v>
      </c>
      <c r="AG44" s="616"/>
    </row>
    <row r="45" spans="1:33">
      <c r="A45" s="630" t="s">
        <v>375</v>
      </c>
      <c r="B45" s="27" t="s">
        <v>20</v>
      </c>
      <c r="C45" s="660" t="s">
        <v>83</v>
      </c>
      <c r="D45" s="660"/>
      <c r="E45" s="27">
        <v>25.98</v>
      </c>
      <c r="F45" s="462">
        <v>4230</v>
      </c>
      <c r="G45" s="451">
        <f t="shared" si="27"/>
        <v>109895.40000000001</v>
      </c>
      <c r="H45" s="31" t="s">
        <v>40</v>
      </c>
      <c r="I45" s="460">
        <v>20</v>
      </c>
      <c r="J45" s="29">
        <v>2400</v>
      </c>
      <c r="K45" s="12">
        <f t="shared" si="1"/>
        <v>120</v>
      </c>
      <c r="L45" s="460">
        <v>20</v>
      </c>
      <c r="M45" s="13">
        <f t="shared" si="28"/>
        <v>2286.4864864864862</v>
      </c>
      <c r="N45" s="12">
        <f t="shared" si="3"/>
        <v>114.32432432432431</v>
      </c>
      <c r="O45" s="14">
        <f t="shared" si="4"/>
        <v>0</v>
      </c>
      <c r="P45" s="15">
        <f t="shared" si="5"/>
        <v>-5.6756756756756914</v>
      </c>
      <c r="Q45" s="454">
        <f t="shared" si="6"/>
        <v>0.95270270270270252</v>
      </c>
      <c r="R45" s="616"/>
      <c r="S45" s="32">
        <v>0.25555555555555554</v>
      </c>
      <c r="T45" s="32">
        <v>0.33263888888888887</v>
      </c>
      <c r="U45" s="451">
        <f t="shared" si="30"/>
        <v>4.9999999999999822</v>
      </c>
      <c r="V45" s="461">
        <f t="shared" si="29"/>
        <v>111</v>
      </c>
      <c r="W45" s="451"/>
      <c r="X45" s="451"/>
      <c r="Y45" s="451"/>
      <c r="Z45" s="451"/>
      <c r="AA45" s="612"/>
      <c r="AB45" s="612"/>
      <c r="AC45" s="18"/>
      <c r="AD45" s="18"/>
      <c r="AE45" s="14">
        <f t="shared" si="8"/>
        <v>-113.51351351351377</v>
      </c>
      <c r="AF45" s="454">
        <f t="shared" si="9"/>
        <v>0.95270270270270263</v>
      </c>
      <c r="AG45" s="616"/>
    </row>
    <row r="46" spans="1:33">
      <c r="A46" s="630" t="s">
        <v>375</v>
      </c>
      <c r="B46" s="27" t="s">
        <v>20</v>
      </c>
      <c r="C46" s="660" t="s">
        <v>26</v>
      </c>
      <c r="D46" s="660"/>
      <c r="E46" s="27">
        <v>34.1</v>
      </c>
      <c r="F46" s="462">
        <v>3900</v>
      </c>
      <c r="G46" s="451">
        <f t="shared" si="27"/>
        <v>132990</v>
      </c>
      <c r="H46" s="31">
        <v>2</v>
      </c>
      <c r="I46" s="460">
        <v>17</v>
      </c>
      <c r="J46" s="29">
        <v>1600</v>
      </c>
      <c r="K46" s="12">
        <f t="shared" si="1"/>
        <v>94.117647058823536</v>
      </c>
      <c r="L46" s="460">
        <v>17</v>
      </c>
      <c r="M46" s="13">
        <f t="shared" si="28"/>
        <v>1529.411764705882</v>
      </c>
      <c r="N46" s="12">
        <f t="shared" si="3"/>
        <v>89.965397923875415</v>
      </c>
      <c r="O46" s="14">
        <f t="shared" si="4"/>
        <v>0</v>
      </c>
      <c r="P46" s="15">
        <f t="shared" si="5"/>
        <v>-4.1522491349481214</v>
      </c>
      <c r="Q46" s="454">
        <f t="shared" si="6"/>
        <v>0.95588235294117618</v>
      </c>
      <c r="R46" s="616"/>
      <c r="S46" s="32">
        <v>0.33749999999999997</v>
      </c>
      <c r="T46" s="32">
        <v>0.44374999999999998</v>
      </c>
      <c r="U46" s="451">
        <f t="shared" si="30"/>
        <v>6.9999999999999751</v>
      </c>
      <c r="V46" s="461">
        <f t="shared" si="29"/>
        <v>153.00000000000003</v>
      </c>
      <c r="W46" s="16"/>
      <c r="X46" s="16"/>
      <c r="Y46" s="16"/>
      <c r="Z46" s="16"/>
      <c r="AA46" s="612"/>
      <c r="AB46" s="612"/>
      <c r="AC46" s="18"/>
      <c r="AD46" s="18"/>
      <c r="AE46" s="14">
        <f t="shared" si="8"/>
        <v>-70.588235294118022</v>
      </c>
      <c r="AF46" s="454">
        <f t="shared" si="9"/>
        <v>0.95588235294117618</v>
      </c>
      <c r="AG46" s="616"/>
    </row>
    <row r="47" spans="1:33">
      <c r="A47" s="630" t="s">
        <v>375</v>
      </c>
      <c r="B47" s="27" t="s">
        <v>20</v>
      </c>
      <c r="C47" s="660" t="s">
        <v>64</v>
      </c>
      <c r="D47" s="660"/>
      <c r="E47" s="27">
        <v>20.21</v>
      </c>
      <c r="F47" s="462">
        <v>2793</v>
      </c>
      <c r="G47" s="451">
        <f t="shared" si="27"/>
        <v>56446.53</v>
      </c>
      <c r="H47" s="31" t="s">
        <v>40</v>
      </c>
      <c r="I47" s="460">
        <v>18</v>
      </c>
      <c r="J47" s="29">
        <v>2400</v>
      </c>
      <c r="K47" s="12">
        <f t="shared" si="1"/>
        <v>133.33333333333334</v>
      </c>
      <c r="L47" s="460">
        <v>18</v>
      </c>
      <c r="M47" s="13">
        <f t="shared" si="28"/>
        <v>2295.616438356165</v>
      </c>
      <c r="N47" s="12">
        <f t="shared" si="3"/>
        <v>127.53424657534249</v>
      </c>
      <c r="O47" s="14">
        <f t="shared" si="4"/>
        <v>0</v>
      </c>
      <c r="P47" s="15">
        <f t="shared" si="5"/>
        <v>-5.7990867579908496</v>
      </c>
      <c r="Q47" s="454">
        <f t="shared" si="6"/>
        <v>0.95650684931506869</v>
      </c>
      <c r="R47" s="616"/>
      <c r="S47" s="32">
        <v>0.44930555555555551</v>
      </c>
      <c r="T47" s="32">
        <v>0.49999999999999994</v>
      </c>
      <c r="U47" s="451">
        <f t="shared" si="30"/>
        <v>7.9999999999999716</v>
      </c>
      <c r="V47" s="461">
        <f t="shared" si="29"/>
        <v>72.999999999999986</v>
      </c>
      <c r="W47" s="16">
        <f>T47</f>
        <v>0.49999999999999994</v>
      </c>
      <c r="X47" s="16">
        <f>S48</f>
        <v>0.54166666666666663</v>
      </c>
      <c r="Y47" s="16"/>
      <c r="Z47" s="16"/>
      <c r="AA47" s="612"/>
      <c r="AB47" s="612"/>
      <c r="AC47" s="18"/>
      <c r="AD47" s="18"/>
      <c r="AE47" s="14">
        <f t="shared" si="8"/>
        <v>-104.38356164383504</v>
      </c>
      <c r="AF47" s="454">
        <f t="shared" si="9"/>
        <v>0.95650684931506869</v>
      </c>
      <c r="AG47" s="616"/>
    </row>
    <row r="48" spans="1:33">
      <c r="A48" s="630" t="s">
        <v>2386</v>
      </c>
      <c r="B48" s="27" t="s">
        <v>20</v>
      </c>
      <c r="C48" s="660" t="s">
        <v>58</v>
      </c>
      <c r="D48" s="660"/>
      <c r="E48" s="27">
        <v>26.18</v>
      </c>
      <c r="F48" s="462">
        <v>2993</v>
      </c>
      <c r="G48" s="451">
        <f t="shared" si="27"/>
        <v>78356.740000000005</v>
      </c>
      <c r="H48" s="31" t="s">
        <v>40</v>
      </c>
      <c r="I48" s="460">
        <v>20</v>
      </c>
      <c r="J48" s="29">
        <v>2400</v>
      </c>
      <c r="K48" s="12">
        <f t="shared" si="1"/>
        <v>120</v>
      </c>
      <c r="L48" s="460">
        <v>20</v>
      </c>
      <c r="M48" s="13">
        <f t="shared" si="28"/>
        <v>2302.307692307691</v>
      </c>
      <c r="N48" s="12">
        <f t="shared" si="3"/>
        <v>115.11538461538456</v>
      </c>
      <c r="O48" s="14">
        <f t="shared" si="4"/>
        <v>0</v>
      </c>
      <c r="P48" s="15">
        <f t="shared" si="5"/>
        <v>-4.8846153846154436</v>
      </c>
      <c r="Q48" s="454">
        <f t="shared" si="6"/>
        <v>0.95929487179487127</v>
      </c>
      <c r="R48" s="616"/>
      <c r="S48" s="32">
        <v>0.54166666666666663</v>
      </c>
      <c r="T48" s="32">
        <v>0.59583333333333333</v>
      </c>
      <c r="U48" s="451">
        <f t="shared" si="30"/>
        <v>60.000000000000028</v>
      </c>
      <c r="V48" s="461">
        <f t="shared" si="29"/>
        <v>78.000000000000043</v>
      </c>
      <c r="W48" s="16"/>
      <c r="X48" s="16"/>
      <c r="Y48" s="16"/>
      <c r="Z48" s="16"/>
      <c r="AA48" s="612"/>
      <c r="AB48" s="612"/>
      <c r="AC48" s="18"/>
      <c r="AD48" s="18"/>
      <c r="AE48" s="14">
        <f t="shared" si="8"/>
        <v>-97.692307692308987</v>
      </c>
      <c r="AF48" s="454">
        <f t="shared" si="9"/>
        <v>0.95929487179487127</v>
      </c>
      <c r="AG48" s="616"/>
    </row>
    <row r="49" spans="1:33">
      <c r="A49" s="630" t="s">
        <v>375</v>
      </c>
      <c r="B49" s="27" t="s">
        <v>20</v>
      </c>
      <c r="C49" s="660" t="s">
        <v>25</v>
      </c>
      <c r="D49" s="660"/>
      <c r="E49" s="27">
        <v>24.43</v>
      </c>
      <c r="F49" s="462">
        <v>3786</v>
      </c>
      <c r="G49" s="451">
        <f t="shared" si="27"/>
        <v>92491.98</v>
      </c>
      <c r="H49" s="31" t="s">
        <v>40</v>
      </c>
      <c r="I49" s="460">
        <v>14</v>
      </c>
      <c r="J49" s="29">
        <v>2400</v>
      </c>
      <c r="K49" s="12">
        <f t="shared" si="1"/>
        <v>171.42857142857142</v>
      </c>
      <c r="L49" s="460">
        <v>14</v>
      </c>
      <c r="M49" s="13">
        <f t="shared" si="28"/>
        <v>2294.5454545454554</v>
      </c>
      <c r="N49" s="12">
        <f t="shared" si="3"/>
        <v>163.89610389610397</v>
      </c>
      <c r="O49" s="14">
        <f t="shared" si="4"/>
        <v>0</v>
      </c>
      <c r="P49" s="15">
        <f t="shared" si="5"/>
        <v>-7.5324675324674502</v>
      </c>
      <c r="Q49" s="454">
        <f t="shared" si="6"/>
        <v>0.9560606060606065</v>
      </c>
      <c r="R49" s="616"/>
      <c r="S49" s="32">
        <v>0.60069444444444442</v>
      </c>
      <c r="T49" s="32">
        <v>0.6694444444444444</v>
      </c>
      <c r="U49" s="451">
        <f t="shared" si="30"/>
        <v>6.9999999999999751</v>
      </c>
      <c r="V49" s="461">
        <f t="shared" si="29"/>
        <v>98.999999999999972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-105.45454545454459</v>
      </c>
      <c r="AF49" s="454">
        <f t="shared" si="9"/>
        <v>0.95606060606060639</v>
      </c>
      <c r="AG49" s="616"/>
    </row>
    <row r="50" spans="1:33">
      <c r="A50" s="630" t="s">
        <v>2386</v>
      </c>
      <c r="B50" s="27" t="s">
        <v>20</v>
      </c>
      <c r="C50" s="660" t="s">
        <v>26</v>
      </c>
      <c r="D50" s="660"/>
      <c r="E50" s="27">
        <v>34.1</v>
      </c>
      <c r="F50" s="462">
        <v>3336</v>
      </c>
      <c r="G50" s="451">
        <f t="shared" si="27"/>
        <v>113757.6</v>
      </c>
      <c r="H50" s="31" t="s">
        <v>40</v>
      </c>
      <c r="I50" s="460">
        <v>17</v>
      </c>
      <c r="J50" s="29">
        <v>1600</v>
      </c>
      <c r="K50" s="12">
        <f t="shared" si="1"/>
        <v>94.117647058823536</v>
      </c>
      <c r="L50" s="460">
        <v>17</v>
      </c>
      <c r="M50" s="13">
        <f t="shared" si="28"/>
        <v>1527.9389312977098</v>
      </c>
      <c r="N50" s="12">
        <f t="shared" si="3"/>
        <v>89.878760664571161</v>
      </c>
      <c r="O50" s="14">
        <f t="shared" si="4"/>
        <v>0</v>
      </c>
      <c r="P50" s="15">
        <f t="shared" si="5"/>
        <v>-4.2388863942523756</v>
      </c>
      <c r="Q50" s="454">
        <f t="shared" si="6"/>
        <v>0.95496183206106855</v>
      </c>
      <c r="R50" s="616"/>
      <c r="S50" s="32">
        <v>0.67291666666666661</v>
      </c>
      <c r="T50" s="32">
        <v>0.76388888888888884</v>
      </c>
      <c r="U50" s="451">
        <f t="shared" si="30"/>
        <v>4.9999999999999822</v>
      </c>
      <c r="V50" s="461">
        <f t="shared" si="29"/>
        <v>131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-72.061068702290186</v>
      </c>
      <c r="AF50" s="454">
        <f t="shared" si="9"/>
        <v>0.95496183206106866</v>
      </c>
      <c r="AG50" s="616"/>
    </row>
    <row r="51" spans="1:33">
      <c r="A51" s="630" t="s">
        <v>375</v>
      </c>
      <c r="B51" s="28" t="s">
        <v>461</v>
      </c>
      <c r="C51" s="658"/>
      <c r="D51" s="658"/>
      <c r="E51" s="455"/>
      <c r="F51" s="28"/>
      <c r="G51" s="12"/>
      <c r="H51" s="462"/>
      <c r="I51" s="21">
        <v>17.5</v>
      </c>
      <c r="J51" s="29">
        <v>2200</v>
      </c>
      <c r="K51" s="12">
        <f t="shared" si="1"/>
        <v>125.71428571428571</v>
      </c>
      <c r="L51" s="21">
        <v>17.5</v>
      </c>
      <c r="M51" s="13">
        <f>AVERAGE(M43:M50)</f>
        <v>2103.4340829937537</v>
      </c>
      <c r="N51" s="12">
        <f t="shared" si="3"/>
        <v>120.19623331392879</v>
      </c>
      <c r="O51" s="14">
        <f t="shared" si="4"/>
        <v>0</v>
      </c>
      <c r="P51" s="15">
        <f t="shared" si="5"/>
        <v>-5.5180524003569218</v>
      </c>
      <c r="Q51" s="454">
        <f t="shared" si="6"/>
        <v>0.95610640136079716</v>
      </c>
      <c r="R51" s="616"/>
      <c r="S51" s="32"/>
      <c r="T51" s="32"/>
      <c r="U51" s="12"/>
      <c r="V51" s="461"/>
      <c r="W51" s="12"/>
      <c r="X51" s="12"/>
      <c r="Y51" s="22">
        <f>SUM(Y43:Y50)</f>
        <v>0</v>
      </c>
      <c r="Z51" s="22">
        <f>SUM(Z43:Z50)</f>
        <v>0</v>
      </c>
      <c r="AA51" s="611"/>
      <c r="AB51" s="611"/>
      <c r="AC51" s="22">
        <v>8</v>
      </c>
      <c r="AD51" s="22">
        <f>SUM(AD43:AD50)</f>
        <v>0</v>
      </c>
      <c r="AE51" s="14">
        <f t="shared" si="8"/>
        <v>-96.565917006246309</v>
      </c>
      <c r="AF51" s="454">
        <f t="shared" si="9"/>
        <v>0.95610640136079716</v>
      </c>
      <c r="AG51" s="616"/>
    </row>
    <row r="52" spans="1:33" ht="15.75" customHeight="1">
      <c r="A52" s="623" t="s">
        <v>75</v>
      </c>
      <c r="B52" s="27" t="s">
        <v>27</v>
      </c>
      <c r="C52" s="605" t="s">
        <v>33</v>
      </c>
      <c r="D52" s="606"/>
      <c r="E52" s="27">
        <v>34.36</v>
      </c>
      <c r="F52" s="462">
        <v>2524</v>
      </c>
      <c r="G52" s="451">
        <f t="shared" ref="G52:G55" si="31">E52*F52</f>
        <v>86724.64</v>
      </c>
      <c r="H52" s="31" t="s">
        <v>40</v>
      </c>
      <c r="I52" s="460">
        <v>10</v>
      </c>
      <c r="J52" s="29">
        <v>3000</v>
      </c>
      <c r="K52" s="12">
        <f t="shared" si="1"/>
        <v>300</v>
      </c>
      <c r="L52" s="460">
        <v>10</v>
      </c>
      <c r="M52" s="13">
        <f t="shared" ref="M52:M55" si="32">F52/V52*60</f>
        <v>2857.3584905660368</v>
      </c>
      <c r="N52" s="13">
        <f t="shared" si="3"/>
        <v>285.73584905660368</v>
      </c>
      <c r="O52" s="14">
        <f t="shared" si="4"/>
        <v>0</v>
      </c>
      <c r="P52" s="15">
        <f t="shared" si="5"/>
        <v>-14.264150943396317</v>
      </c>
      <c r="Q52" s="454">
        <f t="shared" si="6"/>
        <v>0.95245283018867899</v>
      </c>
      <c r="R52" s="626">
        <f>Q56</f>
        <v>0.9518071611345662</v>
      </c>
      <c r="S52" s="32">
        <v>0.20833333333333334</v>
      </c>
      <c r="T52" s="32">
        <v>0.24513888888888891</v>
      </c>
      <c r="U52" s="20"/>
      <c r="V52" s="461">
        <f t="shared" ref="V52:V55" si="33">(T52-S52)*24*60</f>
        <v>53.000000000000014</v>
      </c>
      <c r="W52" s="16"/>
      <c r="X52" s="16"/>
      <c r="Y52" s="19"/>
      <c r="Z52" s="19"/>
      <c r="AA52" s="607"/>
      <c r="AB52" s="608"/>
      <c r="AC52" s="18">
        <v>4</v>
      </c>
      <c r="AD52" s="18"/>
      <c r="AE52" s="14">
        <f t="shared" si="8"/>
        <v>-142.64150943396317</v>
      </c>
      <c r="AF52" s="454">
        <f t="shared" si="9"/>
        <v>0.95245283018867899</v>
      </c>
      <c r="AG52" s="626">
        <f>AF56</f>
        <v>0.95180716113456609</v>
      </c>
    </row>
    <row r="53" spans="1:33" ht="15.75" customHeight="1">
      <c r="A53" s="624" t="s">
        <v>75</v>
      </c>
      <c r="B53" s="27" t="s">
        <v>27</v>
      </c>
      <c r="C53" s="605" t="s">
        <v>29</v>
      </c>
      <c r="D53" s="606"/>
      <c r="E53" s="27">
        <v>21.13</v>
      </c>
      <c r="F53" s="462">
        <v>6327</v>
      </c>
      <c r="G53" s="451">
        <f t="shared" si="31"/>
        <v>133689.50999999998</v>
      </c>
      <c r="H53" s="31" t="s">
        <v>40</v>
      </c>
      <c r="I53" s="460">
        <v>10</v>
      </c>
      <c r="J53" s="29">
        <v>3000</v>
      </c>
      <c r="K53" s="12">
        <f t="shared" si="1"/>
        <v>300</v>
      </c>
      <c r="L53" s="460">
        <v>10</v>
      </c>
      <c r="M53" s="13">
        <f t="shared" si="32"/>
        <v>2854.2857142857142</v>
      </c>
      <c r="N53" s="13">
        <f t="shared" si="3"/>
        <v>285.42857142857144</v>
      </c>
      <c r="O53" s="14">
        <f t="shared" si="4"/>
        <v>0</v>
      </c>
      <c r="P53" s="15">
        <f t="shared" si="5"/>
        <v>-14.571428571428555</v>
      </c>
      <c r="Q53" s="454">
        <f t="shared" si="6"/>
        <v>0.95142857142857151</v>
      </c>
      <c r="R53" s="627"/>
      <c r="S53" s="32">
        <v>0.25069444444444444</v>
      </c>
      <c r="T53" s="32">
        <v>0.34305555555555556</v>
      </c>
      <c r="U53" s="451">
        <f t="shared" ref="U53:U55" si="34">(S53-T52)*24*60</f>
        <v>7.9999999999999716</v>
      </c>
      <c r="V53" s="461">
        <f t="shared" si="33"/>
        <v>133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-145.71428571428578</v>
      </c>
      <c r="AF53" s="454">
        <f t="shared" si="9"/>
        <v>0.9514285714285714</v>
      </c>
      <c r="AG53" s="627"/>
    </row>
    <row r="54" spans="1:33" ht="15.75" customHeight="1">
      <c r="A54" s="624" t="s">
        <v>75</v>
      </c>
      <c r="B54" s="27" t="s">
        <v>27</v>
      </c>
      <c r="C54" s="605" t="s">
        <v>30</v>
      </c>
      <c r="D54" s="606"/>
      <c r="E54" s="27">
        <v>27.17</v>
      </c>
      <c r="F54" s="462">
        <v>5801</v>
      </c>
      <c r="G54" s="451">
        <f t="shared" si="31"/>
        <v>157613.17000000001</v>
      </c>
      <c r="H54" s="31" t="s">
        <v>40</v>
      </c>
      <c r="I54" s="460">
        <v>10</v>
      </c>
      <c r="J54" s="29">
        <v>3000</v>
      </c>
      <c r="K54" s="12">
        <f t="shared" si="1"/>
        <v>300</v>
      </c>
      <c r="L54" s="460">
        <v>10</v>
      </c>
      <c r="M54" s="13">
        <f t="shared" si="32"/>
        <v>2852.9508196721317</v>
      </c>
      <c r="N54" s="13">
        <f t="shared" si="3"/>
        <v>285.29508196721315</v>
      </c>
      <c r="O54" s="14">
        <f t="shared" si="4"/>
        <v>0</v>
      </c>
      <c r="P54" s="15">
        <f t="shared" si="5"/>
        <v>-14.70491803278685</v>
      </c>
      <c r="Q54" s="454">
        <f t="shared" si="6"/>
        <v>0.95098360655737713</v>
      </c>
      <c r="R54" s="627"/>
      <c r="S54" s="32">
        <v>0.34722222222222221</v>
      </c>
      <c r="T54" s="32">
        <v>0.43194444444444441</v>
      </c>
      <c r="U54" s="451">
        <f t="shared" si="34"/>
        <v>5.9999999999999787</v>
      </c>
      <c r="V54" s="461">
        <f t="shared" si="33"/>
        <v>121.99999999999997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-147.04918032786827</v>
      </c>
      <c r="AF54" s="454">
        <f t="shared" si="9"/>
        <v>0.95098360655737724</v>
      </c>
      <c r="AG54" s="627"/>
    </row>
    <row r="55" spans="1:33" ht="15.75" customHeight="1">
      <c r="A55" s="624" t="s">
        <v>75</v>
      </c>
      <c r="B55" s="27" t="s">
        <v>27</v>
      </c>
      <c r="C55" s="605" t="s">
        <v>35</v>
      </c>
      <c r="D55" s="606"/>
      <c r="E55" s="27">
        <v>35.869999999999997</v>
      </c>
      <c r="F55" s="462">
        <v>2619</v>
      </c>
      <c r="G55" s="451">
        <f t="shared" si="31"/>
        <v>93943.53</v>
      </c>
      <c r="H55" s="31" t="s">
        <v>40</v>
      </c>
      <c r="I55" s="460">
        <v>9</v>
      </c>
      <c r="J55" s="29">
        <v>3000</v>
      </c>
      <c r="K55" s="12">
        <f t="shared" si="1"/>
        <v>333.33333333333331</v>
      </c>
      <c r="L55" s="460">
        <v>9</v>
      </c>
      <c r="M55" s="13">
        <f t="shared" si="32"/>
        <v>2857.0909090909108</v>
      </c>
      <c r="N55" s="13">
        <f t="shared" si="3"/>
        <v>317.45454545454567</v>
      </c>
      <c r="O55" s="14">
        <f t="shared" si="4"/>
        <v>0</v>
      </c>
      <c r="P55" s="15">
        <f t="shared" si="5"/>
        <v>-15.878787878787648</v>
      </c>
      <c r="Q55" s="454">
        <f t="shared" si="6"/>
        <v>0.95236363636363708</v>
      </c>
      <c r="R55" s="627"/>
      <c r="S55" s="32">
        <v>0.43541666666666662</v>
      </c>
      <c r="T55" s="32">
        <v>0.47361111111111104</v>
      </c>
      <c r="U55" s="451">
        <f t="shared" si="34"/>
        <v>4.9999999999999822</v>
      </c>
      <c r="V55" s="461">
        <f t="shared" si="33"/>
        <v>54.999999999999964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-142.90909090908917</v>
      </c>
      <c r="AF55" s="454">
        <f t="shared" si="9"/>
        <v>0.95236363636363697</v>
      </c>
      <c r="AG55" s="627"/>
    </row>
    <row r="56" spans="1:33" ht="15.75" customHeight="1">
      <c r="A56" s="625" t="s">
        <v>75</v>
      </c>
      <c r="B56" s="27" t="s">
        <v>461</v>
      </c>
      <c r="C56" s="609"/>
      <c r="D56" s="610"/>
      <c r="E56" s="452"/>
      <c r="F56" s="462"/>
      <c r="G56" s="451"/>
      <c r="H56" s="462"/>
      <c r="I56" s="21">
        <v>9.75</v>
      </c>
      <c r="J56" s="29">
        <v>3000</v>
      </c>
      <c r="K56" s="12">
        <f t="shared" si="1"/>
        <v>307.69230769230768</v>
      </c>
      <c r="L56" s="21">
        <v>9.75</v>
      </c>
      <c r="M56" s="13">
        <f>AVERAGE(M52:M55)</f>
        <v>2855.4214834036984</v>
      </c>
      <c r="N56" s="12">
        <f t="shared" si="3"/>
        <v>292.86374188755883</v>
      </c>
      <c r="O56" s="14">
        <f t="shared" si="4"/>
        <v>0</v>
      </c>
      <c r="P56" s="15">
        <f t="shared" si="5"/>
        <v>-14.828565804748848</v>
      </c>
      <c r="Q56" s="454">
        <f t="shared" si="6"/>
        <v>0.9518071611345662</v>
      </c>
      <c r="R56" s="628"/>
      <c r="S56" s="32"/>
      <c r="T56" s="32"/>
      <c r="U56" s="451"/>
      <c r="V56" s="461"/>
      <c r="W56" s="16"/>
      <c r="X56" s="16"/>
      <c r="Y56" s="22">
        <f>SUM(Y52:Y55)</f>
        <v>0</v>
      </c>
      <c r="Z56" s="22">
        <f>SUM(Z52:Z55)</f>
        <v>0</v>
      </c>
      <c r="AA56" s="619"/>
      <c r="AB56" s="620"/>
      <c r="AC56" s="22">
        <v>4</v>
      </c>
      <c r="AD56" s="22">
        <f>SUM(AD52:AD55)</f>
        <v>0</v>
      </c>
      <c r="AE56" s="14">
        <f t="shared" si="8"/>
        <v>-144.5785165963016</v>
      </c>
      <c r="AF56" s="454">
        <f t="shared" si="9"/>
        <v>0.95180716113456609</v>
      </c>
      <c r="AG56" s="628"/>
    </row>
    <row r="57" spans="1:33" ht="15.75" customHeight="1">
      <c r="A57" s="621" t="s">
        <v>71</v>
      </c>
      <c r="B57" s="27" t="s">
        <v>5</v>
      </c>
      <c r="C57" s="660" t="s">
        <v>15</v>
      </c>
      <c r="D57" s="660"/>
      <c r="E57" s="27">
        <v>59.04</v>
      </c>
      <c r="F57" s="30">
        <v>1933</v>
      </c>
      <c r="G57" s="451">
        <f t="shared" ref="G57:G65" si="35">E57*F57</f>
        <v>114124.31999999999</v>
      </c>
      <c r="H57" s="31" t="s">
        <v>40</v>
      </c>
      <c r="I57" s="460">
        <v>19</v>
      </c>
      <c r="J57" s="29">
        <v>2000</v>
      </c>
      <c r="K57" s="12">
        <f t="shared" si="1"/>
        <v>105.26315789473684</v>
      </c>
      <c r="L57" s="460">
        <v>19</v>
      </c>
      <c r="M57" s="13">
        <f t="shared" ref="M57" si="36">F57/V57*60</f>
        <v>1933.0000000000005</v>
      </c>
      <c r="N57" s="13">
        <f t="shared" si="3"/>
        <v>101.73684210526318</v>
      </c>
      <c r="O57" s="14">
        <f t="shared" si="4"/>
        <v>0</v>
      </c>
      <c r="P57" s="15">
        <f t="shared" si="5"/>
        <v>-3.5263157894736565</v>
      </c>
      <c r="Q57" s="454">
        <f t="shared" si="6"/>
        <v>0.96650000000000025</v>
      </c>
      <c r="R57" s="616">
        <f>Q66</f>
        <v>0.96008048783137023</v>
      </c>
      <c r="S57" s="32">
        <v>0.20833333333333334</v>
      </c>
      <c r="T57" s="32">
        <v>0.25</v>
      </c>
      <c r="U57" s="20"/>
      <c r="V57" s="461">
        <f t="shared" ref="V57:V65" si="37">(T57-S57)*24*60</f>
        <v>59.999999999999986</v>
      </c>
      <c r="W57" s="16"/>
      <c r="X57" s="16"/>
      <c r="Y57" s="20"/>
      <c r="Z57" s="20"/>
      <c r="AA57" s="612"/>
      <c r="AB57" s="612"/>
      <c r="AC57" s="18">
        <v>9</v>
      </c>
      <c r="AD57" s="18"/>
      <c r="AE57" s="14">
        <f t="shared" si="8"/>
        <v>-66.999999999999545</v>
      </c>
      <c r="AF57" s="454">
        <f t="shared" si="9"/>
        <v>0.96650000000000025</v>
      </c>
      <c r="AG57" s="616">
        <f>AF66</f>
        <v>0.96008048783137023</v>
      </c>
    </row>
    <row r="58" spans="1:33" ht="15.75" customHeight="1">
      <c r="A58" s="621" t="s">
        <v>71</v>
      </c>
      <c r="B58" s="27" t="s">
        <v>5</v>
      </c>
      <c r="C58" s="660" t="s">
        <v>31</v>
      </c>
      <c r="D58" s="660"/>
      <c r="E58" s="27">
        <v>56.43</v>
      </c>
      <c r="F58" s="30">
        <v>1440</v>
      </c>
      <c r="G58" s="451">
        <f t="shared" si="35"/>
        <v>81259.199999999997</v>
      </c>
      <c r="H58" s="31" t="s">
        <v>40</v>
      </c>
      <c r="I58" s="460">
        <v>22</v>
      </c>
      <c r="J58" s="29">
        <v>2000</v>
      </c>
      <c r="K58" s="12">
        <f t="shared" si="1"/>
        <v>90.909090909090907</v>
      </c>
      <c r="L58" s="460">
        <v>22</v>
      </c>
      <c r="M58" s="13">
        <f>F58/V58*60</f>
        <v>1920</v>
      </c>
      <c r="N58" s="13">
        <f t="shared" si="3"/>
        <v>87.272727272727266</v>
      </c>
      <c r="O58" s="14">
        <f t="shared" si="4"/>
        <v>0</v>
      </c>
      <c r="P58" s="15">
        <f t="shared" si="5"/>
        <v>-3.6363636363636402</v>
      </c>
      <c r="Q58" s="454">
        <f t="shared" si="6"/>
        <v>0.96</v>
      </c>
      <c r="R58" s="616"/>
      <c r="S58" s="32">
        <v>0.25416666666666665</v>
      </c>
      <c r="T58" s="32">
        <v>0.28541666666666665</v>
      </c>
      <c r="U58" s="451">
        <f t="shared" ref="U58:U65" si="38">IF(S58=TIME(17,0,0),"",(S58-T57)*24*60)</f>
        <v>5.9999999999999787</v>
      </c>
      <c r="V58" s="461">
        <f t="shared" si="37"/>
        <v>45</v>
      </c>
      <c r="W58" s="16"/>
      <c r="X58" s="16"/>
      <c r="Y58" s="16"/>
      <c r="Z58" s="16"/>
      <c r="AA58" s="612"/>
      <c r="AB58" s="612"/>
      <c r="AC58" s="18"/>
      <c r="AD58" s="18"/>
      <c r="AE58" s="14">
        <f t="shared" si="8"/>
        <v>-80</v>
      </c>
      <c r="AF58" s="454">
        <f t="shared" si="9"/>
        <v>0.96</v>
      </c>
      <c r="AG58" s="616"/>
    </row>
    <row r="59" spans="1:33" ht="15.75" customHeight="1">
      <c r="A59" s="621" t="s">
        <v>71</v>
      </c>
      <c r="B59" s="27" t="s">
        <v>5</v>
      </c>
      <c r="C59" s="605" t="s">
        <v>81</v>
      </c>
      <c r="D59" s="606"/>
      <c r="E59" s="27">
        <v>51.44</v>
      </c>
      <c r="F59" s="30">
        <v>2068</v>
      </c>
      <c r="G59" s="451">
        <f t="shared" si="35"/>
        <v>106377.92</v>
      </c>
      <c r="H59" s="31" t="s">
        <v>40</v>
      </c>
      <c r="I59" s="460">
        <v>25</v>
      </c>
      <c r="J59" s="29">
        <v>2000</v>
      </c>
      <c r="K59" s="12">
        <f t="shared" si="1"/>
        <v>80</v>
      </c>
      <c r="L59" s="460">
        <v>25</v>
      </c>
      <c r="M59" s="13">
        <f t="shared" ref="M59:M65" si="39">F59/V59*60</f>
        <v>1908.9230769230765</v>
      </c>
      <c r="N59" s="13">
        <f t="shared" si="3"/>
        <v>76.356923076923053</v>
      </c>
      <c r="O59" s="14">
        <f t="shared" si="4"/>
        <v>0</v>
      </c>
      <c r="P59" s="15">
        <f t="shared" si="5"/>
        <v>-3.6430769230769471</v>
      </c>
      <c r="Q59" s="454">
        <f t="shared" si="6"/>
        <v>0.95446153846153814</v>
      </c>
      <c r="R59" s="616"/>
      <c r="S59" s="32">
        <v>0.28888888888888886</v>
      </c>
      <c r="T59" s="32">
        <v>0.33402777777777776</v>
      </c>
      <c r="U59" s="451">
        <f t="shared" si="38"/>
        <v>4.9999999999999822</v>
      </c>
      <c r="V59" s="461">
        <f t="shared" si="37"/>
        <v>65.000000000000014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-91.076923076923549</v>
      </c>
      <c r="AF59" s="454">
        <f t="shared" si="9"/>
        <v>0.95446153846153825</v>
      </c>
      <c r="AG59" s="616"/>
    </row>
    <row r="60" spans="1:33" ht="15.75" customHeight="1">
      <c r="A60" s="621" t="s">
        <v>71</v>
      </c>
      <c r="B60" s="27" t="s">
        <v>8</v>
      </c>
      <c r="C60" s="456" t="s">
        <v>61</v>
      </c>
      <c r="D60" s="457"/>
      <c r="E60" s="27">
        <v>46</v>
      </c>
      <c r="F60" s="30">
        <v>2183</v>
      </c>
      <c r="G60" s="451">
        <f t="shared" si="35"/>
        <v>100418</v>
      </c>
      <c r="H60" s="31" t="s">
        <v>40</v>
      </c>
      <c r="I60" s="460">
        <v>16</v>
      </c>
      <c r="J60" s="29">
        <v>2000</v>
      </c>
      <c r="K60" s="12">
        <f t="shared" si="1"/>
        <v>125</v>
      </c>
      <c r="L60" s="460">
        <v>16</v>
      </c>
      <c r="M60" s="13">
        <f t="shared" si="39"/>
        <v>1926.1764705882351</v>
      </c>
      <c r="N60" s="13">
        <f t="shared" si="3"/>
        <v>120.3860294117647</v>
      </c>
      <c r="O60" s="14">
        <f t="shared" si="4"/>
        <v>0</v>
      </c>
      <c r="P60" s="15">
        <f t="shared" si="5"/>
        <v>-4.6139705882353041</v>
      </c>
      <c r="Q60" s="454">
        <f t="shared" si="6"/>
        <v>0.96308823529411758</v>
      </c>
      <c r="R60" s="616"/>
      <c r="S60" s="32">
        <v>0.33749999999999997</v>
      </c>
      <c r="T60" s="32">
        <v>0.38472222222222219</v>
      </c>
      <c r="U60" s="451">
        <f t="shared" si="38"/>
        <v>4.9999999999999822</v>
      </c>
      <c r="V60" s="461">
        <f t="shared" si="37"/>
        <v>68</v>
      </c>
      <c r="W60" s="16"/>
      <c r="X60" s="16"/>
      <c r="Y60" s="19"/>
      <c r="Z60" s="19"/>
      <c r="AA60" s="612"/>
      <c r="AB60" s="612"/>
      <c r="AC60" s="18"/>
      <c r="AD60" s="18"/>
      <c r="AE60" s="14">
        <f t="shared" si="8"/>
        <v>-73.823529411764866</v>
      </c>
      <c r="AF60" s="454">
        <f t="shared" si="9"/>
        <v>0.96308823529411758</v>
      </c>
      <c r="AG60" s="616"/>
    </row>
    <row r="61" spans="1:33" ht="15.75" customHeight="1">
      <c r="A61" s="621" t="s">
        <v>71</v>
      </c>
      <c r="B61" s="27" t="s">
        <v>8</v>
      </c>
      <c r="C61" s="456" t="s">
        <v>79</v>
      </c>
      <c r="D61" s="457"/>
      <c r="E61" s="27">
        <v>46</v>
      </c>
      <c r="F61" s="30">
        <v>2483</v>
      </c>
      <c r="G61" s="451">
        <f t="shared" si="35"/>
        <v>114218</v>
      </c>
      <c r="H61" s="31" t="s">
        <v>40</v>
      </c>
      <c r="I61" s="460">
        <v>17</v>
      </c>
      <c r="J61" s="29">
        <v>2000</v>
      </c>
      <c r="K61" s="12">
        <f t="shared" si="1"/>
        <v>117.64705882352941</v>
      </c>
      <c r="L61" s="460">
        <v>17</v>
      </c>
      <c r="M61" s="13">
        <f t="shared" si="39"/>
        <v>1909.9999999999989</v>
      </c>
      <c r="N61" s="13">
        <f t="shared" si="3"/>
        <v>112.35294117647052</v>
      </c>
      <c r="O61" s="14">
        <f t="shared" si="4"/>
        <v>0</v>
      </c>
      <c r="P61" s="15">
        <f t="shared" si="5"/>
        <v>-5.2941176470588829</v>
      </c>
      <c r="Q61" s="454">
        <f t="shared" si="6"/>
        <v>0.95499999999999952</v>
      </c>
      <c r="R61" s="616"/>
      <c r="S61" s="32">
        <v>0.38888888888888884</v>
      </c>
      <c r="T61" s="32">
        <v>0.44305555555555554</v>
      </c>
      <c r="U61" s="451">
        <f t="shared" si="38"/>
        <v>5.9999999999999787</v>
      </c>
      <c r="V61" s="461">
        <f t="shared" si="37"/>
        <v>78.000000000000043</v>
      </c>
      <c r="W61" s="16"/>
      <c r="X61" s="16"/>
      <c r="Y61" s="19"/>
      <c r="Z61" s="19"/>
      <c r="AA61" s="612"/>
      <c r="AB61" s="612"/>
      <c r="AC61" s="18"/>
      <c r="AD61" s="18"/>
      <c r="AE61" s="14">
        <f t="shared" si="8"/>
        <v>-90.000000000001137</v>
      </c>
      <c r="AF61" s="454">
        <f t="shared" si="9"/>
        <v>0.9549999999999994</v>
      </c>
      <c r="AG61" s="616"/>
    </row>
    <row r="62" spans="1:33" ht="15.75" customHeight="1">
      <c r="A62" s="621" t="s">
        <v>71</v>
      </c>
      <c r="B62" s="27" t="s">
        <v>5</v>
      </c>
      <c r="C62" s="605" t="s">
        <v>32</v>
      </c>
      <c r="D62" s="606"/>
      <c r="E62" s="27">
        <v>55.56</v>
      </c>
      <c r="F62" s="30">
        <v>1000</v>
      </c>
      <c r="G62" s="451">
        <f t="shared" si="35"/>
        <v>55560</v>
      </c>
      <c r="H62" s="31">
        <v>2</v>
      </c>
      <c r="I62" s="460">
        <v>17</v>
      </c>
      <c r="J62" s="29">
        <v>2000</v>
      </c>
      <c r="K62" s="12">
        <f t="shared" si="1"/>
        <v>117.64705882352941</v>
      </c>
      <c r="L62" s="460">
        <v>17</v>
      </c>
      <c r="M62" s="13">
        <f t="shared" si="39"/>
        <v>1935.483870967739</v>
      </c>
      <c r="N62" s="13">
        <f t="shared" si="3"/>
        <v>113.85199240986699</v>
      </c>
      <c r="O62" s="14">
        <f t="shared" si="4"/>
        <v>0</v>
      </c>
      <c r="P62" s="15">
        <f t="shared" si="5"/>
        <v>-3.7950664136624113</v>
      </c>
      <c r="Q62" s="454">
        <f t="shared" si="6"/>
        <v>0.96774193548386955</v>
      </c>
      <c r="R62" s="616"/>
      <c r="S62" s="32">
        <v>0.70833333333333337</v>
      </c>
      <c r="T62" s="32">
        <v>0.72986111111111118</v>
      </c>
      <c r="U62" s="451" t="str">
        <f t="shared" si="38"/>
        <v/>
      </c>
      <c r="V62" s="461">
        <f t="shared" si="37"/>
        <v>31.00000000000005</v>
      </c>
      <c r="W62" s="16"/>
      <c r="X62" s="16"/>
      <c r="Y62" s="19"/>
      <c r="Z62" s="19"/>
      <c r="AA62" s="607"/>
      <c r="AB62" s="608"/>
      <c r="AC62" s="18"/>
      <c r="AD62" s="18"/>
      <c r="AE62" s="14">
        <f t="shared" si="8"/>
        <v>-64.516129032261006</v>
      </c>
      <c r="AF62" s="454">
        <f t="shared" si="9"/>
        <v>0.96774193548386944</v>
      </c>
      <c r="AG62" s="616"/>
    </row>
    <row r="63" spans="1:33" ht="15.75" customHeight="1">
      <c r="A63" s="621" t="s">
        <v>71</v>
      </c>
      <c r="B63" s="27" t="s">
        <v>5</v>
      </c>
      <c r="C63" s="605" t="s">
        <v>77</v>
      </c>
      <c r="D63" s="606"/>
      <c r="E63" s="27">
        <v>54.09</v>
      </c>
      <c r="F63" s="30">
        <v>1403</v>
      </c>
      <c r="G63" s="451">
        <f t="shared" si="35"/>
        <v>75888.27</v>
      </c>
      <c r="H63" s="31" t="s">
        <v>40</v>
      </c>
      <c r="I63" s="460">
        <v>13</v>
      </c>
      <c r="J63" s="29">
        <v>2000</v>
      </c>
      <c r="K63" s="12">
        <f t="shared" si="1"/>
        <v>153.84615384615384</v>
      </c>
      <c r="L63" s="460">
        <v>13</v>
      </c>
      <c r="M63" s="13">
        <f t="shared" si="39"/>
        <v>1913.1818181818182</v>
      </c>
      <c r="N63" s="13">
        <f t="shared" si="3"/>
        <v>147.16783216783216</v>
      </c>
      <c r="O63" s="14">
        <f t="shared" si="4"/>
        <v>0</v>
      </c>
      <c r="P63" s="15">
        <f t="shared" si="5"/>
        <v>-6.6783216783216801</v>
      </c>
      <c r="Q63" s="454">
        <f t="shared" si="6"/>
        <v>0.95659090909090905</v>
      </c>
      <c r="R63" s="616"/>
      <c r="S63" s="32">
        <v>0.73402777777777783</v>
      </c>
      <c r="T63" s="32">
        <v>0.76458333333333339</v>
      </c>
      <c r="U63" s="451">
        <f t="shared" si="38"/>
        <v>5.9999999999999787</v>
      </c>
      <c r="V63" s="461">
        <f t="shared" si="37"/>
        <v>44</v>
      </c>
      <c r="W63" s="16"/>
      <c r="X63" s="16"/>
      <c r="Y63" s="19"/>
      <c r="Z63" s="19"/>
      <c r="AA63" s="607"/>
      <c r="AB63" s="608"/>
      <c r="AC63" s="18"/>
      <c r="AD63" s="18"/>
      <c r="AE63" s="14">
        <f t="shared" si="8"/>
        <v>-86.818181818181756</v>
      </c>
      <c r="AF63" s="454">
        <f t="shared" si="9"/>
        <v>0.95659090909090916</v>
      </c>
      <c r="AG63" s="616"/>
    </row>
    <row r="64" spans="1:33" ht="15.75" customHeight="1">
      <c r="A64" s="621" t="s">
        <v>71</v>
      </c>
      <c r="B64" s="27" t="s">
        <v>5</v>
      </c>
      <c r="C64" s="605" t="s">
        <v>62</v>
      </c>
      <c r="D64" s="606"/>
      <c r="E64" s="27">
        <v>51.06</v>
      </c>
      <c r="F64" s="30">
        <v>3456</v>
      </c>
      <c r="G64" s="451">
        <f t="shared" si="35"/>
        <v>176463.36000000002</v>
      </c>
      <c r="H64" s="31" t="s">
        <v>40</v>
      </c>
      <c r="I64" s="460">
        <v>13</v>
      </c>
      <c r="J64" s="29">
        <v>2000</v>
      </c>
      <c r="K64" s="12">
        <f t="shared" si="1"/>
        <v>153.84615384615384</v>
      </c>
      <c r="L64" s="460">
        <v>13</v>
      </c>
      <c r="M64" s="13">
        <f t="shared" si="39"/>
        <v>1920.0000000000009</v>
      </c>
      <c r="N64" s="13">
        <f t="shared" si="3"/>
        <v>147.69230769230776</v>
      </c>
      <c r="O64" s="14">
        <f t="shared" si="4"/>
        <v>0</v>
      </c>
      <c r="P64" s="15">
        <f t="shared" si="5"/>
        <v>-6.1538461538460751</v>
      </c>
      <c r="Q64" s="454">
        <f t="shared" si="6"/>
        <v>0.96000000000000052</v>
      </c>
      <c r="R64" s="616"/>
      <c r="S64" s="32">
        <v>0.7680555555555556</v>
      </c>
      <c r="T64" s="32">
        <v>0.84305555555555556</v>
      </c>
      <c r="U64" s="451">
        <f t="shared" si="38"/>
        <v>4.9999999999999822</v>
      </c>
      <c r="V64" s="461">
        <f t="shared" si="37"/>
        <v>107.99999999999994</v>
      </c>
      <c r="W64" s="16">
        <f>T64</f>
        <v>0.84305555555555556</v>
      </c>
      <c r="X64" s="16">
        <f>S65</f>
        <v>0.8833333333333333</v>
      </c>
      <c r="Y64" s="19"/>
      <c r="Z64" s="19"/>
      <c r="AA64" s="607"/>
      <c r="AB64" s="608"/>
      <c r="AC64" s="18"/>
      <c r="AD64" s="18"/>
      <c r="AE64" s="14">
        <f t="shared" si="8"/>
        <v>-79.999999999999091</v>
      </c>
      <c r="AF64" s="454">
        <f t="shared" si="9"/>
        <v>0.96000000000000041</v>
      </c>
      <c r="AG64" s="616"/>
    </row>
    <row r="65" spans="1:33">
      <c r="A65" s="621" t="s">
        <v>71</v>
      </c>
      <c r="B65" s="27" t="s">
        <v>5</v>
      </c>
      <c r="C65" s="456" t="s">
        <v>32</v>
      </c>
      <c r="D65" s="457"/>
      <c r="E65" s="27">
        <v>55.56</v>
      </c>
      <c r="F65" s="30">
        <v>2521</v>
      </c>
      <c r="G65" s="451">
        <f t="shared" si="35"/>
        <v>140066.76</v>
      </c>
      <c r="H65" s="31" t="s">
        <v>40</v>
      </c>
      <c r="I65" s="460">
        <v>17</v>
      </c>
      <c r="J65" s="29">
        <v>2000</v>
      </c>
      <c r="K65" s="12">
        <f t="shared" si="1"/>
        <v>117.64705882352941</v>
      </c>
      <c r="L65" s="460">
        <v>17</v>
      </c>
      <c r="M65" s="13">
        <f t="shared" si="39"/>
        <v>1914.6835443037965</v>
      </c>
      <c r="N65" s="13">
        <f t="shared" si="3"/>
        <v>112.62844378257626</v>
      </c>
      <c r="O65" s="14">
        <f t="shared" si="4"/>
        <v>0</v>
      </c>
      <c r="P65" s="15">
        <f t="shared" si="5"/>
        <v>-5.0186150409531507</v>
      </c>
      <c r="Q65" s="454">
        <f t="shared" si="6"/>
        <v>0.9573417721518982</v>
      </c>
      <c r="R65" s="616"/>
      <c r="S65" s="32">
        <v>0.8833333333333333</v>
      </c>
      <c r="T65" s="32">
        <v>0.93819444444444444</v>
      </c>
      <c r="U65" s="451">
        <f t="shared" si="38"/>
        <v>57.999999999999957</v>
      </c>
      <c r="V65" s="461">
        <f t="shared" si="37"/>
        <v>79.000000000000043</v>
      </c>
      <c r="W65" s="16"/>
      <c r="X65" s="16"/>
      <c r="Y65" s="19"/>
      <c r="Z65" s="19"/>
      <c r="AA65" s="458"/>
      <c r="AB65" s="459"/>
      <c r="AC65" s="18"/>
      <c r="AD65" s="18"/>
      <c r="AE65" s="14">
        <f t="shared" si="8"/>
        <v>-85.316455696203548</v>
      </c>
      <c r="AF65" s="454">
        <f t="shared" si="9"/>
        <v>0.9573417721518982</v>
      </c>
      <c r="AG65" s="616"/>
    </row>
    <row r="66" spans="1:33">
      <c r="A66" s="622" t="s">
        <v>71</v>
      </c>
      <c r="B66" s="27" t="s">
        <v>461</v>
      </c>
      <c r="C66" s="658"/>
      <c r="D66" s="658"/>
      <c r="E66" s="455"/>
      <c r="F66" s="28"/>
      <c r="G66" s="12"/>
      <c r="H66" s="462"/>
      <c r="I66" s="21">
        <v>17.666666666666668</v>
      </c>
      <c r="J66" s="29">
        <v>2000</v>
      </c>
      <c r="K66" s="12">
        <f t="shared" si="1"/>
        <v>113.20754716981131</v>
      </c>
      <c r="L66" s="21">
        <v>17.666666666666668</v>
      </c>
      <c r="M66" s="13">
        <f>AVERAGE(M57:M65)</f>
        <v>1920.1609756627404</v>
      </c>
      <c r="N66" s="12">
        <f t="shared" si="3"/>
        <v>108.6883571129853</v>
      </c>
      <c r="O66" s="14">
        <f t="shared" si="4"/>
        <v>0</v>
      </c>
      <c r="P66" s="15">
        <f t="shared" si="5"/>
        <v>-4.5191900568260053</v>
      </c>
      <c r="Q66" s="454">
        <f t="shared" si="6"/>
        <v>0.96008048783137023</v>
      </c>
      <c r="R66" s="616"/>
      <c r="S66" s="32"/>
      <c r="T66" s="32"/>
      <c r="U66" s="451"/>
      <c r="V66" s="461"/>
      <c r="W66" s="12"/>
      <c r="X66" s="12"/>
      <c r="Y66" s="22">
        <f>SUM(Y57:Y65)</f>
        <v>0</v>
      </c>
      <c r="Z66" s="22">
        <f>SUM(Z57:Z65)</f>
        <v>0</v>
      </c>
      <c r="AA66" s="611"/>
      <c r="AB66" s="611"/>
      <c r="AC66" s="22">
        <v>9</v>
      </c>
      <c r="AD66" s="22">
        <f>SUM(AD57:AD65)</f>
        <v>0</v>
      </c>
      <c r="AE66" s="14">
        <f>M66-J66</f>
        <v>-79.839024337259616</v>
      </c>
      <c r="AF66" s="454">
        <f t="shared" si="9"/>
        <v>0.96008048783137023</v>
      </c>
      <c r="AG66" s="616"/>
    </row>
    <row r="67" spans="1:33" ht="15.75" customHeight="1">
      <c r="A67" s="617" t="s">
        <v>72</v>
      </c>
      <c r="B67" s="462" t="s">
        <v>27</v>
      </c>
      <c r="C67" s="660" t="s">
        <v>28</v>
      </c>
      <c r="D67" s="660"/>
      <c r="E67" s="27">
        <v>35.119999999999997</v>
      </c>
      <c r="F67" s="30">
        <v>5110</v>
      </c>
      <c r="G67" s="451">
        <f t="shared" ref="G67:G70" si="40">E67*F67</f>
        <v>179463.19999999998</v>
      </c>
      <c r="H67" s="31" t="s">
        <v>40</v>
      </c>
      <c r="I67" s="460">
        <v>10</v>
      </c>
      <c r="J67" s="29">
        <v>3000</v>
      </c>
      <c r="K67" s="12">
        <f t="shared" si="1"/>
        <v>300</v>
      </c>
      <c r="L67" s="460">
        <v>10</v>
      </c>
      <c r="M67" s="13">
        <f t="shared" ref="M67:M70" si="41">F67/V67*60</f>
        <v>2865.4205607476642</v>
      </c>
      <c r="N67" s="12">
        <f t="shared" si="3"/>
        <v>286.54205607476644</v>
      </c>
      <c r="O67" s="14">
        <f t="shared" si="4"/>
        <v>0</v>
      </c>
      <c r="P67" s="15">
        <f t="shared" si="5"/>
        <v>-13.457943925233565</v>
      </c>
      <c r="Q67" s="454">
        <f t="shared" si="6"/>
        <v>0.95514018691588809</v>
      </c>
      <c r="R67" s="616">
        <f>Q71</f>
        <v>0.96156977579301139</v>
      </c>
      <c r="S67" s="32">
        <v>0.20833333333333334</v>
      </c>
      <c r="T67" s="32">
        <v>0.28263888888888888</v>
      </c>
      <c r="U67" s="451"/>
      <c r="V67" s="461">
        <f t="shared" ref="V67:V70" si="42">(T67-S67)*24*60</f>
        <v>106.99999999999999</v>
      </c>
      <c r="W67" s="16"/>
      <c r="X67" s="16"/>
      <c r="Y67" s="20"/>
      <c r="Z67" s="20"/>
      <c r="AA67" s="612"/>
      <c r="AB67" s="612"/>
      <c r="AC67" s="18">
        <v>4</v>
      </c>
      <c r="AD67" s="18"/>
      <c r="AE67" s="14">
        <f t="shared" ref="AE67:AE80" si="43">M67-J67</f>
        <v>-134.57943925233576</v>
      </c>
      <c r="AF67" s="454">
        <f t="shared" si="9"/>
        <v>0.95514018691588809</v>
      </c>
      <c r="AG67" s="616">
        <f>AF71</f>
        <v>0.96156977579301128</v>
      </c>
    </row>
    <row r="68" spans="1:33" ht="15.75" customHeight="1">
      <c r="A68" s="617" t="s">
        <v>72</v>
      </c>
      <c r="B68" s="462" t="s">
        <v>27</v>
      </c>
      <c r="C68" s="660" t="s">
        <v>34</v>
      </c>
      <c r="D68" s="660"/>
      <c r="E68" s="27">
        <v>26.78</v>
      </c>
      <c r="F68" s="30">
        <v>2782</v>
      </c>
      <c r="G68" s="451">
        <f t="shared" si="40"/>
        <v>74501.960000000006</v>
      </c>
      <c r="H68" s="31" t="s">
        <v>40</v>
      </c>
      <c r="I68" s="460">
        <v>10</v>
      </c>
      <c r="J68" s="29">
        <v>3000</v>
      </c>
      <c r="K68" s="12">
        <f t="shared" si="1"/>
        <v>300</v>
      </c>
      <c r="L68" s="460">
        <v>10</v>
      </c>
      <c r="M68" s="13">
        <f t="shared" si="41"/>
        <v>2877.9310344827568</v>
      </c>
      <c r="N68" s="12">
        <f t="shared" si="3"/>
        <v>287.7931034482757</v>
      </c>
      <c r="O68" s="14">
        <f t="shared" si="4"/>
        <v>0</v>
      </c>
      <c r="P68" s="15">
        <f t="shared" si="5"/>
        <v>-12.206896551724299</v>
      </c>
      <c r="Q68" s="454">
        <f t="shared" si="6"/>
        <v>0.9593103448275857</v>
      </c>
      <c r="R68" s="616"/>
      <c r="S68" s="32">
        <v>0.28680555555555554</v>
      </c>
      <c r="T68" s="32">
        <v>0.32708333333333334</v>
      </c>
      <c r="U68" s="451">
        <f t="shared" ref="U68:U70" si="44">(S68-T67)*24*60</f>
        <v>5.9999999999999787</v>
      </c>
      <c r="V68" s="461">
        <f t="shared" si="42"/>
        <v>58.000000000000036</v>
      </c>
      <c r="W68" s="451"/>
      <c r="X68" s="451"/>
      <c r="Y68" s="451"/>
      <c r="Z68" s="451"/>
      <c r="AA68" s="612"/>
      <c r="AB68" s="612"/>
      <c r="AC68" s="18"/>
      <c r="AD68" s="18"/>
      <c r="AE68" s="14">
        <f t="shared" si="43"/>
        <v>-122.06896551724321</v>
      </c>
      <c r="AF68" s="454">
        <f t="shared" si="9"/>
        <v>0.95931034482758559</v>
      </c>
      <c r="AG68" s="616"/>
    </row>
    <row r="69" spans="1:33" ht="15.75" customHeight="1">
      <c r="A69" s="617" t="s">
        <v>72</v>
      </c>
      <c r="B69" s="462" t="s">
        <v>27</v>
      </c>
      <c r="C69" s="660" t="s">
        <v>36</v>
      </c>
      <c r="D69" s="660"/>
      <c r="E69" s="27">
        <v>34.35</v>
      </c>
      <c r="F69" s="30">
        <v>1020</v>
      </c>
      <c r="G69" s="451">
        <f t="shared" si="40"/>
        <v>35037</v>
      </c>
      <c r="H69" s="31" t="s">
        <v>40</v>
      </c>
      <c r="I69" s="460">
        <v>8</v>
      </c>
      <c r="J69" s="29">
        <v>3000</v>
      </c>
      <c r="K69" s="12">
        <f t="shared" ref="K69:K80" si="45">J69/I69</f>
        <v>375</v>
      </c>
      <c r="L69" s="460">
        <v>8</v>
      </c>
      <c r="M69" s="13">
        <f t="shared" si="41"/>
        <v>2914.2857142857133</v>
      </c>
      <c r="N69" s="12">
        <f t="shared" ref="N69:N80" si="46">M69/L69</f>
        <v>364.28571428571416</v>
      </c>
      <c r="O69" s="14">
        <f t="shared" ref="O69:O80" si="47">L69-I69</f>
        <v>0</v>
      </c>
      <c r="P69" s="15">
        <f t="shared" ref="P69:P80" si="48">N69-K69</f>
        <v>-10.714285714285836</v>
      </c>
      <c r="Q69" s="454">
        <f t="shared" ref="Q69:Q80" si="49">N69/K69</f>
        <v>0.97142857142857109</v>
      </c>
      <c r="R69" s="616"/>
      <c r="S69" s="32">
        <v>0.33194444444444443</v>
      </c>
      <c r="T69" s="32">
        <v>0.34652777777777777</v>
      </c>
      <c r="U69" s="451">
        <f t="shared" si="44"/>
        <v>6.9999999999999751</v>
      </c>
      <c r="V69" s="461">
        <f t="shared" si="42"/>
        <v>21.000000000000007</v>
      </c>
      <c r="W69" s="451"/>
      <c r="X69" s="451"/>
      <c r="Y69" s="451"/>
      <c r="Z69" s="451"/>
      <c r="AA69" s="612"/>
      <c r="AB69" s="612"/>
      <c r="AC69" s="18"/>
      <c r="AD69" s="18"/>
      <c r="AE69" s="14">
        <f t="shared" si="43"/>
        <v>-85.714285714286689</v>
      </c>
      <c r="AF69" s="454">
        <f t="shared" ref="AF69:AF80" si="50">M69/J69</f>
        <v>0.97142857142857109</v>
      </c>
      <c r="AG69" s="616"/>
    </row>
    <row r="70" spans="1:33" ht="15.75" customHeight="1">
      <c r="A70" s="617" t="s">
        <v>72</v>
      </c>
      <c r="B70" s="462" t="s">
        <v>27</v>
      </c>
      <c r="C70" s="660" t="s">
        <v>737</v>
      </c>
      <c r="D70" s="660"/>
      <c r="E70" s="27">
        <v>36.14</v>
      </c>
      <c r="F70" s="30">
        <v>2401</v>
      </c>
      <c r="G70" s="451">
        <f t="shared" si="40"/>
        <v>86772.14</v>
      </c>
      <c r="H70" s="31" t="s">
        <v>40</v>
      </c>
      <c r="I70" s="460">
        <v>11</v>
      </c>
      <c r="J70" s="29">
        <v>3000</v>
      </c>
      <c r="K70" s="12">
        <f t="shared" si="45"/>
        <v>272.72727272727275</v>
      </c>
      <c r="L70" s="460">
        <v>11</v>
      </c>
      <c r="M70" s="13">
        <f t="shared" si="41"/>
        <v>2881.2000000000007</v>
      </c>
      <c r="N70" s="12">
        <f t="shared" si="46"/>
        <v>261.92727272727279</v>
      </c>
      <c r="O70" s="14">
        <f t="shared" si="47"/>
        <v>0</v>
      </c>
      <c r="P70" s="15">
        <f t="shared" si="48"/>
        <v>-10.799999999999955</v>
      </c>
      <c r="Q70" s="454">
        <f t="shared" si="49"/>
        <v>0.96040000000000014</v>
      </c>
      <c r="R70" s="616"/>
      <c r="S70" s="32">
        <v>0.35069444444444442</v>
      </c>
      <c r="T70" s="32">
        <v>0.38541666666666663</v>
      </c>
      <c r="U70" s="451">
        <f t="shared" si="44"/>
        <v>5.9999999999999787</v>
      </c>
      <c r="V70" s="461">
        <f t="shared" si="42"/>
        <v>49.999999999999986</v>
      </c>
      <c r="W70" s="451"/>
      <c r="X70" s="451"/>
      <c r="Y70" s="451"/>
      <c r="Z70" s="451"/>
      <c r="AA70" s="612"/>
      <c r="AB70" s="612"/>
      <c r="AC70" s="18"/>
      <c r="AD70" s="18"/>
      <c r="AE70" s="14">
        <f t="shared" si="43"/>
        <v>-118.79999999999927</v>
      </c>
      <c r="AF70" s="454">
        <f t="shared" si="50"/>
        <v>0.96040000000000025</v>
      </c>
      <c r="AG70" s="616"/>
    </row>
    <row r="71" spans="1:33">
      <c r="A71" s="618" t="s">
        <v>72</v>
      </c>
      <c r="B71" s="27" t="s">
        <v>461</v>
      </c>
      <c r="C71" s="658"/>
      <c r="D71" s="658"/>
      <c r="E71" s="455"/>
      <c r="F71" s="28"/>
      <c r="G71" s="12"/>
      <c r="H71" s="462"/>
      <c r="I71" s="21">
        <v>9.75</v>
      </c>
      <c r="J71" s="29">
        <v>3000</v>
      </c>
      <c r="K71" s="12">
        <f t="shared" si="45"/>
        <v>307.69230769230768</v>
      </c>
      <c r="L71" s="21">
        <v>9.75</v>
      </c>
      <c r="M71" s="13">
        <f>AVERAGE(M67:M70)</f>
        <v>2884.7093273790338</v>
      </c>
      <c r="N71" s="12">
        <f t="shared" si="46"/>
        <v>295.86762332092655</v>
      </c>
      <c r="O71" s="14">
        <f t="shared" si="47"/>
        <v>0</v>
      </c>
      <c r="P71" s="15">
        <f t="shared" si="48"/>
        <v>-11.824684371381124</v>
      </c>
      <c r="Q71" s="454">
        <f t="shared" si="49"/>
        <v>0.96156977579301139</v>
      </c>
      <c r="R71" s="616"/>
      <c r="S71" s="32"/>
      <c r="T71" s="32"/>
      <c r="U71" s="12"/>
      <c r="V71" s="461"/>
      <c r="W71" s="12"/>
      <c r="X71" s="12"/>
      <c r="Y71" s="22">
        <f>SUM(Y67:Y70)</f>
        <v>0</v>
      </c>
      <c r="Z71" s="22">
        <f>SUM(Z67:Z70)</f>
        <v>0</v>
      </c>
      <c r="AA71" s="611"/>
      <c r="AB71" s="611"/>
      <c r="AC71" s="22">
        <v>4</v>
      </c>
      <c r="AD71" s="22">
        <f>SUM(AD67:AD70)</f>
        <v>0</v>
      </c>
      <c r="AE71" s="14">
        <f t="shared" si="43"/>
        <v>-115.29067262096623</v>
      </c>
      <c r="AF71" s="454">
        <f t="shared" si="50"/>
        <v>0.96156977579301128</v>
      </c>
      <c r="AG71" s="616"/>
    </row>
    <row r="72" spans="1:33" ht="15.75" customHeight="1">
      <c r="A72" s="613" t="s">
        <v>73</v>
      </c>
      <c r="B72" s="462" t="s">
        <v>20</v>
      </c>
      <c r="C72" s="660" t="s">
        <v>39</v>
      </c>
      <c r="D72" s="660"/>
      <c r="E72" s="27">
        <v>19.02</v>
      </c>
      <c r="F72" s="462">
        <v>6400</v>
      </c>
      <c r="G72" s="451">
        <f t="shared" ref="G72:G79" si="51">E72*F72</f>
        <v>121728</v>
      </c>
      <c r="H72" s="31">
        <v>2</v>
      </c>
      <c r="I72" s="460">
        <v>14</v>
      </c>
      <c r="J72" s="29">
        <v>2400</v>
      </c>
      <c r="K72" s="12">
        <f t="shared" si="45"/>
        <v>171.42857142857142</v>
      </c>
      <c r="L72" s="460">
        <v>14</v>
      </c>
      <c r="M72" s="13">
        <f t="shared" ref="M72:M79" si="52">F72/V72*60</f>
        <v>2285.7142857142858</v>
      </c>
      <c r="N72" s="12">
        <f t="shared" si="46"/>
        <v>163.26530612244898</v>
      </c>
      <c r="O72" s="14">
        <f t="shared" si="47"/>
        <v>0</v>
      </c>
      <c r="P72" s="15">
        <f t="shared" si="48"/>
        <v>-8.1632653061224403</v>
      </c>
      <c r="Q72" s="454">
        <f t="shared" si="49"/>
        <v>0.95238095238095244</v>
      </c>
      <c r="R72" s="616">
        <f>Q80</f>
        <v>0.95674912686574287</v>
      </c>
      <c r="S72" s="32">
        <v>8.3333333333333329E-2</v>
      </c>
      <c r="T72" s="32">
        <v>0.19999999999999998</v>
      </c>
      <c r="U72" s="20"/>
      <c r="V72" s="461">
        <f t="shared" ref="V72:V79" si="53">(T72-S72)*24*60</f>
        <v>168</v>
      </c>
      <c r="W72" s="16">
        <f>T72</f>
        <v>0.19999999999999998</v>
      </c>
      <c r="X72" s="16">
        <f>S73</f>
        <v>0.21736111111111106</v>
      </c>
      <c r="Y72" s="16"/>
      <c r="Z72" s="16"/>
      <c r="AA72" s="612"/>
      <c r="AB72" s="612"/>
      <c r="AC72" s="18">
        <v>8</v>
      </c>
      <c r="AD72" s="18"/>
      <c r="AE72" s="14">
        <f t="shared" si="43"/>
        <v>-114.28571428571422</v>
      </c>
      <c r="AF72" s="454">
        <f t="shared" si="50"/>
        <v>0.95238095238095244</v>
      </c>
      <c r="AG72" s="616">
        <f>AF80</f>
        <v>0.95674912686574276</v>
      </c>
    </row>
    <row r="73" spans="1:33" ht="15.75" customHeight="1">
      <c r="A73" s="614" t="s">
        <v>73</v>
      </c>
      <c r="B73" s="462" t="s">
        <v>20</v>
      </c>
      <c r="C73" s="660" t="s">
        <v>24</v>
      </c>
      <c r="D73" s="660"/>
      <c r="E73" s="27">
        <v>20.36</v>
      </c>
      <c r="F73" s="462">
        <v>4897</v>
      </c>
      <c r="G73" s="451">
        <f t="shared" si="51"/>
        <v>99702.92</v>
      </c>
      <c r="H73" s="31" t="s">
        <v>40</v>
      </c>
      <c r="I73" s="460">
        <v>17</v>
      </c>
      <c r="J73" s="29">
        <v>2400</v>
      </c>
      <c r="K73" s="12">
        <f t="shared" si="45"/>
        <v>141.1764705882353</v>
      </c>
      <c r="L73" s="460">
        <v>17</v>
      </c>
      <c r="M73" s="13">
        <f t="shared" si="52"/>
        <v>2295.4687499999995</v>
      </c>
      <c r="N73" s="12">
        <f t="shared" si="46"/>
        <v>135.02757352941174</v>
      </c>
      <c r="O73" s="14">
        <f t="shared" si="47"/>
        <v>0</v>
      </c>
      <c r="P73" s="15">
        <f t="shared" si="48"/>
        <v>-6.1488970588235645</v>
      </c>
      <c r="Q73" s="454">
        <f t="shared" si="49"/>
        <v>0.95644531249999976</v>
      </c>
      <c r="R73" s="616"/>
      <c r="S73" s="32">
        <v>0.21736111111111106</v>
      </c>
      <c r="T73" s="32">
        <v>0.30624999999999997</v>
      </c>
      <c r="U73" s="451">
        <f t="shared" ref="U73:U79" si="54">(S73-T72)*24*60</f>
        <v>24.99999999999995</v>
      </c>
      <c r="V73" s="461">
        <f t="shared" si="53"/>
        <v>128.00000000000003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-104.53125000000045</v>
      </c>
      <c r="AF73" s="454">
        <f t="shared" si="50"/>
        <v>0.95644531249999976</v>
      </c>
      <c r="AG73" s="616"/>
    </row>
    <row r="74" spans="1:33" ht="15.75" customHeight="1">
      <c r="A74" s="614" t="s">
        <v>73</v>
      </c>
      <c r="B74" s="462" t="s">
        <v>20</v>
      </c>
      <c r="C74" s="660" t="s">
        <v>80</v>
      </c>
      <c r="D74" s="660"/>
      <c r="E74" s="27">
        <v>25.98</v>
      </c>
      <c r="F74" s="462">
        <v>3573</v>
      </c>
      <c r="G74" s="451">
        <f t="shared" si="51"/>
        <v>92826.540000000008</v>
      </c>
      <c r="H74" s="31" t="s">
        <v>40</v>
      </c>
      <c r="I74" s="460">
        <v>17</v>
      </c>
      <c r="J74" s="29">
        <v>2400</v>
      </c>
      <c r="K74" s="12">
        <f t="shared" si="45"/>
        <v>141.1764705882353</v>
      </c>
      <c r="L74" s="460">
        <v>17</v>
      </c>
      <c r="M74" s="13">
        <f t="shared" si="52"/>
        <v>2305.1612903225814</v>
      </c>
      <c r="N74" s="12">
        <f t="shared" si="46"/>
        <v>135.59772296015186</v>
      </c>
      <c r="O74" s="14">
        <f t="shared" si="47"/>
        <v>0</v>
      </c>
      <c r="P74" s="15">
        <f t="shared" si="48"/>
        <v>-5.5787476280834483</v>
      </c>
      <c r="Q74" s="454">
        <f t="shared" si="49"/>
        <v>0.96048387096774224</v>
      </c>
      <c r="R74" s="616"/>
      <c r="S74" s="32">
        <v>0.30972222222222218</v>
      </c>
      <c r="T74" s="32">
        <v>0.3743055555555555</v>
      </c>
      <c r="U74" s="451">
        <f t="shared" si="54"/>
        <v>4.9999999999999822</v>
      </c>
      <c r="V74" s="461">
        <f t="shared" si="53"/>
        <v>92.999999999999986</v>
      </c>
      <c r="W74" s="16"/>
      <c r="X74" s="16"/>
      <c r="Y74" s="16"/>
      <c r="Z74" s="16"/>
      <c r="AA74" s="612"/>
      <c r="AB74" s="612"/>
      <c r="AC74" s="18"/>
      <c r="AD74" s="18"/>
      <c r="AE74" s="14">
        <f t="shared" si="43"/>
        <v>-94.838709677418592</v>
      </c>
      <c r="AF74" s="454">
        <f t="shared" si="50"/>
        <v>0.96048387096774224</v>
      </c>
      <c r="AG74" s="616"/>
    </row>
    <row r="75" spans="1:33" ht="15.75" customHeight="1">
      <c r="A75" s="614" t="s">
        <v>73</v>
      </c>
      <c r="B75" s="462" t="s">
        <v>20</v>
      </c>
      <c r="C75" s="660" t="s">
        <v>739</v>
      </c>
      <c r="D75" s="660"/>
      <c r="E75" s="27">
        <v>28.29</v>
      </c>
      <c r="F75" s="462">
        <v>3200</v>
      </c>
      <c r="G75" s="451">
        <f t="shared" si="51"/>
        <v>90528</v>
      </c>
      <c r="H75" s="31">
        <v>2</v>
      </c>
      <c r="I75" s="460">
        <v>21</v>
      </c>
      <c r="J75" s="29">
        <v>2400</v>
      </c>
      <c r="K75" s="12">
        <f t="shared" si="45"/>
        <v>114.28571428571429</v>
      </c>
      <c r="L75" s="460">
        <v>21</v>
      </c>
      <c r="M75" s="13">
        <f t="shared" si="52"/>
        <v>2285.7142857142849</v>
      </c>
      <c r="N75" s="12">
        <f t="shared" si="46"/>
        <v>108.84353741496595</v>
      </c>
      <c r="O75" s="14">
        <f t="shared" si="47"/>
        <v>0</v>
      </c>
      <c r="P75" s="15">
        <f t="shared" si="48"/>
        <v>-5.4421768707483409</v>
      </c>
      <c r="Q75" s="454">
        <f t="shared" si="49"/>
        <v>0.952380952380952</v>
      </c>
      <c r="R75" s="616"/>
      <c r="S75" s="32">
        <v>0.3791666666666666</v>
      </c>
      <c r="T75" s="32">
        <v>0.43749999999999994</v>
      </c>
      <c r="U75" s="451">
        <f t="shared" si="54"/>
        <v>6.9999999999999751</v>
      </c>
      <c r="V75" s="461">
        <f t="shared" si="53"/>
        <v>84.000000000000028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-114.28571428571513</v>
      </c>
      <c r="AF75" s="454">
        <f t="shared" si="50"/>
        <v>0.952380952380952</v>
      </c>
      <c r="AG75" s="616"/>
    </row>
    <row r="76" spans="1:33" ht="15.75" customHeight="1">
      <c r="A76" s="614" t="s">
        <v>73</v>
      </c>
      <c r="B76" s="462" t="s">
        <v>20</v>
      </c>
      <c r="C76" s="660" t="s">
        <v>1420</v>
      </c>
      <c r="D76" s="660"/>
      <c r="E76" s="27">
        <v>24.25</v>
      </c>
      <c r="F76" s="462">
        <v>3900</v>
      </c>
      <c r="G76" s="451">
        <f t="shared" si="51"/>
        <v>94575</v>
      </c>
      <c r="H76" s="31">
        <v>2</v>
      </c>
      <c r="I76" s="460">
        <v>17</v>
      </c>
      <c r="J76" s="29">
        <v>2400</v>
      </c>
      <c r="K76" s="12">
        <f t="shared" si="45"/>
        <v>141.1764705882353</v>
      </c>
      <c r="L76" s="460">
        <v>17</v>
      </c>
      <c r="M76" s="13">
        <f t="shared" si="52"/>
        <v>2294.1176470588225</v>
      </c>
      <c r="N76" s="12">
        <f t="shared" si="46"/>
        <v>134.9480968858131</v>
      </c>
      <c r="O76" s="14">
        <f t="shared" si="47"/>
        <v>0</v>
      </c>
      <c r="P76" s="15">
        <f t="shared" si="48"/>
        <v>-6.2283737024222035</v>
      </c>
      <c r="Q76" s="454">
        <f t="shared" si="49"/>
        <v>0.95588235294117607</v>
      </c>
      <c r="R76" s="616"/>
      <c r="S76" s="32">
        <v>0.44097222222222215</v>
      </c>
      <c r="T76" s="32">
        <v>0.51180555555555551</v>
      </c>
      <c r="U76" s="451">
        <f t="shared" si="54"/>
        <v>4.9999999999999822</v>
      </c>
      <c r="V76" s="461">
        <f t="shared" si="53"/>
        <v>102.00000000000004</v>
      </c>
      <c r="W76" s="16">
        <f>T76</f>
        <v>0.51180555555555551</v>
      </c>
      <c r="X76" s="16">
        <f>S77</f>
        <v>0.55347222222222214</v>
      </c>
      <c r="Y76" s="16"/>
      <c r="Z76" s="16"/>
      <c r="AA76" s="612"/>
      <c r="AB76" s="612"/>
      <c r="AC76" s="18"/>
      <c r="AD76" s="18"/>
      <c r="AE76" s="14">
        <f t="shared" si="43"/>
        <v>-105.88235294117749</v>
      </c>
      <c r="AF76" s="454">
        <f t="shared" si="50"/>
        <v>0.95588235294117607</v>
      </c>
      <c r="AG76" s="616"/>
    </row>
    <row r="77" spans="1:33" ht="15.75" customHeight="1">
      <c r="A77" s="614" t="s">
        <v>73</v>
      </c>
      <c r="B77" s="462" t="s">
        <v>20</v>
      </c>
      <c r="C77" s="660" t="s">
        <v>39</v>
      </c>
      <c r="D77" s="660"/>
      <c r="E77" s="27">
        <v>19.02</v>
      </c>
      <c r="F77" s="462">
        <v>5174</v>
      </c>
      <c r="G77" s="451">
        <f t="shared" si="51"/>
        <v>98409.48</v>
      </c>
      <c r="H77" s="31" t="s">
        <v>40</v>
      </c>
      <c r="I77" s="460">
        <v>14</v>
      </c>
      <c r="J77" s="29">
        <v>2400</v>
      </c>
      <c r="K77" s="12">
        <f t="shared" si="45"/>
        <v>171.42857142857142</v>
      </c>
      <c r="L77" s="460">
        <v>14</v>
      </c>
      <c r="M77" s="13">
        <f t="shared" si="52"/>
        <v>2299.5555555555552</v>
      </c>
      <c r="N77" s="12">
        <f t="shared" si="46"/>
        <v>164.25396825396822</v>
      </c>
      <c r="O77" s="14">
        <f t="shared" si="47"/>
        <v>0</v>
      </c>
      <c r="P77" s="15">
        <f t="shared" si="48"/>
        <v>-7.1746031746031917</v>
      </c>
      <c r="Q77" s="454">
        <f t="shared" si="49"/>
        <v>0.95814814814814808</v>
      </c>
      <c r="R77" s="616"/>
      <c r="S77" s="32">
        <v>0.55347222222222214</v>
      </c>
      <c r="T77" s="32">
        <v>0.64722222222222214</v>
      </c>
      <c r="U77" s="451">
        <f t="shared" si="54"/>
        <v>59.999999999999943</v>
      </c>
      <c r="V77" s="461">
        <f t="shared" si="53"/>
        <v>135</v>
      </c>
      <c r="W77" s="16"/>
      <c r="X77" s="16"/>
      <c r="Y77" s="16"/>
      <c r="Z77" s="16"/>
      <c r="AA77" s="612"/>
      <c r="AB77" s="612"/>
      <c r="AC77" s="18"/>
      <c r="AD77" s="18"/>
      <c r="AE77" s="14">
        <f t="shared" si="43"/>
        <v>-100.4444444444448</v>
      </c>
      <c r="AF77" s="454">
        <f t="shared" si="50"/>
        <v>0.95814814814814797</v>
      </c>
      <c r="AG77" s="616"/>
    </row>
    <row r="78" spans="1:33" ht="15.75" customHeight="1">
      <c r="A78" s="614" t="s">
        <v>73</v>
      </c>
      <c r="B78" s="462" t="s">
        <v>20</v>
      </c>
      <c r="C78" s="605" t="s">
        <v>1420</v>
      </c>
      <c r="D78" s="606"/>
      <c r="E78" s="27">
        <v>24.25</v>
      </c>
      <c r="F78" s="462">
        <v>3017</v>
      </c>
      <c r="G78" s="451">
        <f t="shared" si="51"/>
        <v>73162.25</v>
      </c>
      <c r="H78" s="31" t="s">
        <v>40</v>
      </c>
      <c r="I78" s="460">
        <v>17</v>
      </c>
      <c r="J78" s="29">
        <v>2400</v>
      </c>
      <c r="K78" s="12">
        <f t="shared" si="45"/>
        <v>141.1764705882353</v>
      </c>
      <c r="L78" s="460">
        <v>17</v>
      </c>
      <c r="M78" s="13">
        <f t="shared" si="52"/>
        <v>2291.39240506329</v>
      </c>
      <c r="N78" s="12">
        <f t="shared" si="46"/>
        <v>134.78778853313472</v>
      </c>
      <c r="O78" s="14">
        <f t="shared" si="47"/>
        <v>0</v>
      </c>
      <c r="P78" s="15">
        <f t="shared" si="48"/>
        <v>-6.3886820551005883</v>
      </c>
      <c r="Q78" s="454">
        <f t="shared" si="49"/>
        <v>0.95474683544303751</v>
      </c>
      <c r="R78" s="616"/>
      <c r="S78" s="32">
        <v>0.65069444444444435</v>
      </c>
      <c r="T78" s="32">
        <v>0.70555555555555549</v>
      </c>
      <c r="U78" s="451">
        <f t="shared" si="54"/>
        <v>4.9999999999999822</v>
      </c>
      <c r="V78" s="461">
        <f t="shared" si="53"/>
        <v>79.000000000000043</v>
      </c>
      <c r="W78" s="16"/>
      <c r="X78" s="16"/>
      <c r="Y78" s="19"/>
      <c r="Z78" s="19"/>
      <c r="AA78" s="607"/>
      <c r="AB78" s="608"/>
      <c r="AC78" s="18"/>
      <c r="AD78" s="18"/>
      <c r="AE78" s="14">
        <f t="shared" si="43"/>
        <v>-108.60759493671003</v>
      </c>
      <c r="AF78" s="454">
        <f t="shared" si="50"/>
        <v>0.95474683544303751</v>
      </c>
      <c r="AG78" s="616"/>
    </row>
    <row r="79" spans="1:33" ht="15.75" customHeight="1">
      <c r="A79" s="614" t="s">
        <v>73</v>
      </c>
      <c r="B79" s="462" t="s">
        <v>20</v>
      </c>
      <c r="C79" s="605" t="s">
        <v>739</v>
      </c>
      <c r="D79" s="606"/>
      <c r="E79" s="27">
        <v>28.29</v>
      </c>
      <c r="F79" s="462">
        <v>2351</v>
      </c>
      <c r="G79" s="451">
        <f t="shared" si="51"/>
        <v>66509.789999999994</v>
      </c>
      <c r="H79" s="31" t="s">
        <v>40</v>
      </c>
      <c r="I79" s="460">
        <v>21</v>
      </c>
      <c r="J79" s="29">
        <v>2400</v>
      </c>
      <c r="K79" s="12">
        <f t="shared" si="45"/>
        <v>114.28571428571429</v>
      </c>
      <c r="L79" s="460">
        <v>21</v>
      </c>
      <c r="M79" s="13">
        <f t="shared" si="52"/>
        <v>2312.4590163934445</v>
      </c>
      <c r="N79" s="12">
        <f t="shared" si="46"/>
        <v>110.11709601873545</v>
      </c>
      <c r="O79" s="14">
        <f t="shared" si="47"/>
        <v>0</v>
      </c>
      <c r="P79" s="15">
        <f t="shared" si="48"/>
        <v>-4.1686182669788394</v>
      </c>
      <c r="Q79" s="454">
        <f t="shared" si="49"/>
        <v>0.9635245901639351</v>
      </c>
      <c r="R79" s="616"/>
      <c r="S79" s="32">
        <v>0.70972222222222214</v>
      </c>
      <c r="T79" s="32">
        <v>0.75208333333333321</v>
      </c>
      <c r="U79" s="451">
        <f t="shared" si="54"/>
        <v>5.9999999999999787</v>
      </c>
      <c r="V79" s="461">
        <f t="shared" si="53"/>
        <v>60.999999999999943</v>
      </c>
      <c r="W79" s="16"/>
      <c r="X79" s="16"/>
      <c r="Y79" s="19"/>
      <c r="Z79" s="19"/>
      <c r="AA79" s="607"/>
      <c r="AB79" s="608"/>
      <c r="AC79" s="18"/>
      <c r="AD79" s="18"/>
      <c r="AE79" s="14">
        <f t="shared" si="43"/>
        <v>-87.540983606555528</v>
      </c>
      <c r="AF79" s="454">
        <f t="shared" si="50"/>
        <v>0.96352459016393521</v>
      </c>
      <c r="AG79" s="616"/>
    </row>
    <row r="80" spans="1:33" ht="16.5" customHeight="1">
      <c r="A80" s="615" t="s">
        <v>73</v>
      </c>
      <c r="B80" s="27" t="s">
        <v>461</v>
      </c>
      <c r="C80" s="609"/>
      <c r="D80" s="610"/>
      <c r="E80" s="455"/>
      <c r="F80" s="28"/>
      <c r="G80" s="12"/>
      <c r="H80" s="462"/>
      <c r="I80" s="21">
        <v>17.25</v>
      </c>
      <c r="J80" s="29">
        <v>2400</v>
      </c>
      <c r="K80" s="12">
        <f t="shared" si="45"/>
        <v>139.13043478260869</v>
      </c>
      <c r="L80" s="21">
        <v>17.25</v>
      </c>
      <c r="M80" s="13">
        <f>AVERAGE(M72:M79)</f>
        <v>2296.1979044777827</v>
      </c>
      <c r="N80" s="12">
        <f t="shared" si="46"/>
        <v>133.11292199871204</v>
      </c>
      <c r="O80" s="14">
        <f t="shared" si="47"/>
        <v>0</v>
      </c>
      <c r="P80" s="15">
        <f t="shared" si="48"/>
        <v>-6.0175127838966489</v>
      </c>
      <c r="Q80" s="454">
        <f t="shared" si="49"/>
        <v>0.95674912686574287</v>
      </c>
      <c r="R80" s="616"/>
      <c r="S80" s="32"/>
      <c r="T80" s="32"/>
      <c r="U80" s="12"/>
      <c r="V80" s="461"/>
      <c r="W80" s="12"/>
      <c r="X80" s="12"/>
      <c r="Y80" s="22">
        <f>SUM(Y72:Y79)</f>
        <v>0</v>
      </c>
      <c r="Z80" s="22">
        <f>SUM(Z72:Z79)</f>
        <v>0</v>
      </c>
      <c r="AA80" s="611"/>
      <c r="AB80" s="611"/>
      <c r="AC80" s="22">
        <v>8</v>
      </c>
      <c r="AD80" s="22">
        <f>SUM(AD72:AD79)</f>
        <v>0</v>
      </c>
      <c r="AE80" s="14">
        <f t="shared" si="43"/>
        <v>-103.80209552221731</v>
      </c>
      <c r="AF80" s="454">
        <f t="shared" si="50"/>
        <v>0.95674912686574276</v>
      </c>
      <c r="AG80" s="616"/>
    </row>
    <row r="81" spans="4:5">
      <c r="D81" s="23"/>
      <c r="E81" s="23"/>
    </row>
  </sheetData>
  <mergeCells count="20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AG17:AG25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5:D25"/>
    <mergeCell ref="AA25:AB25"/>
    <mergeCell ref="A26:A33"/>
    <mergeCell ref="C26:D26"/>
    <mergeCell ref="R26:R33"/>
    <mergeCell ref="AA26:AB26"/>
    <mergeCell ref="AA31:AB31"/>
    <mergeCell ref="A17:A25"/>
    <mergeCell ref="C17:D17"/>
    <mergeCell ref="R17:R25"/>
    <mergeCell ref="AA17:AB17"/>
    <mergeCell ref="AG26:AG33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C32:D32"/>
    <mergeCell ref="AA32:AB32"/>
    <mergeCell ref="C33:D33"/>
    <mergeCell ref="AA33:AB33"/>
    <mergeCell ref="AA51:AB51"/>
    <mergeCell ref="A34:A42"/>
    <mergeCell ref="C34:D34"/>
    <mergeCell ref="R34:R42"/>
    <mergeCell ref="AA34:AB34"/>
    <mergeCell ref="AA39:AB39"/>
    <mergeCell ref="C40:D40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AA42:AB42"/>
    <mergeCell ref="A52:A56"/>
    <mergeCell ref="C52:D52"/>
    <mergeCell ref="R52:R56"/>
    <mergeCell ref="AA52:AB52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43:A51"/>
    <mergeCell ref="C43:D43"/>
    <mergeCell ref="R43:R51"/>
    <mergeCell ref="AA43:AB43"/>
    <mergeCell ref="AA48:AB48"/>
    <mergeCell ref="C49:D49"/>
    <mergeCell ref="AA49:AB49"/>
    <mergeCell ref="C50:D50"/>
    <mergeCell ref="AA50:AB50"/>
    <mergeCell ref="C51:D51"/>
    <mergeCell ref="AG57:AG66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A66:AB66"/>
    <mergeCell ref="A67:A71"/>
    <mergeCell ref="C67:D67"/>
    <mergeCell ref="R67:R71"/>
    <mergeCell ref="AA67:AB67"/>
    <mergeCell ref="AA61:AB61"/>
    <mergeCell ref="C62:D62"/>
    <mergeCell ref="AA62:AB62"/>
    <mergeCell ref="C63:D63"/>
    <mergeCell ref="AA63:AB63"/>
    <mergeCell ref="C64:D64"/>
    <mergeCell ref="AA64:AB64"/>
    <mergeCell ref="A57:A66"/>
    <mergeCell ref="C57:D57"/>
    <mergeCell ref="R57:R66"/>
    <mergeCell ref="AA57:AB57"/>
    <mergeCell ref="AG67:AG71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</mergeCells>
  <phoneticPr fontId="3" type="noConversion"/>
  <conditionalFormatting sqref="O70:O77 O66:O67 O80 O5:O10 O16:O18 O25:O62">
    <cfRule type="cellIs" dxfId="1783" priority="73" operator="greaterThan">
      <formula>0</formula>
    </cfRule>
  </conditionalFormatting>
  <conditionalFormatting sqref="P5:P8 P70 AE70 P72:P77 P34:P41 P67 P10 P16:P18 P26:P32 P57:P62 P43:P55 AE5:AE67 AE72:AE80">
    <cfRule type="cellIs" dxfId="1782" priority="77" operator="lessThan">
      <formula>0</formula>
    </cfRule>
  </conditionalFormatting>
  <conditionalFormatting sqref="AF70 Q70:Q77 Q66:Q67 Q80 Q5:Q10 Q16:Q18 Q25:Q62 AF5:AF67 AF72:AF80">
    <cfRule type="cellIs" dxfId="1781" priority="74" operator="greaterThan">
      <formula>1</formula>
    </cfRule>
    <cfRule type="cellIs" dxfId="1780" priority="75" operator="lessThan">
      <formula>0.8</formula>
    </cfRule>
  </conditionalFormatting>
  <conditionalFormatting sqref="AG17:AG18 R17:R18 AG70 R70:R77 R25:R31 AG25:AG31 AG66:AG67 R66:R67 R80 AG5:AG10 R5:R10 AG33:AG62 R33:R62">
    <cfRule type="cellIs" dxfId="1779" priority="79" operator="lessThan">
      <formula>0.8</formula>
    </cfRule>
  </conditionalFormatting>
  <conditionalFormatting sqref="AG52">
    <cfRule type="cellIs" dxfId="1778" priority="81" operator="lessThan">
      <formula>0.8</formula>
    </cfRule>
  </conditionalFormatting>
  <conditionalFormatting sqref="AG26:AG31">
    <cfRule type="cellIs" dxfId="1777" priority="78" operator="lessThan">
      <formula>0.8</formula>
    </cfRule>
  </conditionalFormatting>
  <conditionalFormatting sqref="AG34">
    <cfRule type="cellIs" dxfId="1776" priority="80" operator="lessThan">
      <formula>0.8</formula>
    </cfRule>
  </conditionalFormatting>
  <conditionalFormatting sqref="AG43:AG50">
    <cfRule type="cellIs" dxfId="1775" priority="76" operator="lessThan">
      <formula>0.8</formula>
    </cfRule>
  </conditionalFormatting>
  <conditionalFormatting sqref="AE71">
    <cfRule type="cellIs" dxfId="1774" priority="72" operator="lessThan">
      <formula>0</formula>
    </cfRule>
  </conditionalFormatting>
  <conditionalFormatting sqref="AF71">
    <cfRule type="cellIs" dxfId="1773" priority="70" operator="greaterThan">
      <formula>1</formula>
    </cfRule>
    <cfRule type="cellIs" dxfId="1772" priority="71" operator="lessThan">
      <formula>0.8</formula>
    </cfRule>
  </conditionalFormatting>
  <conditionalFormatting sqref="O19:O20">
    <cfRule type="cellIs" dxfId="1771" priority="65" operator="greaterThan">
      <formula>0</formula>
    </cfRule>
  </conditionalFormatting>
  <conditionalFormatting sqref="P19:P20">
    <cfRule type="cellIs" dxfId="1770" priority="68" operator="lessThan">
      <formula>0</formula>
    </cfRule>
  </conditionalFormatting>
  <conditionalFormatting sqref="Q19:Q20">
    <cfRule type="cellIs" dxfId="1769" priority="66" operator="greaterThan">
      <formula>1</formula>
    </cfRule>
    <cfRule type="cellIs" dxfId="1768" priority="67" operator="lessThan">
      <formula>0.8</formula>
    </cfRule>
  </conditionalFormatting>
  <conditionalFormatting sqref="R19:R20 AG19:AG20">
    <cfRule type="cellIs" dxfId="1767" priority="69" operator="lessThan">
      <formula>0.8</formula>
    </cfRule>
  </conditionalFormatting>
  <conditionalFormatting sqref="O11:O15">
    <cfRule type="cellIs" dxfId="1766" priority="61" operator="greaterThan">
      <formula>0</formula>
    </cfRule>
  </conditionalFormatting>
  <conditionalFormatting sqref="P11:P15">
    <cfRule type="cellIs" dxfId="1765" priority="64" operator="lessThan">
      <formula>0</formula>
    </cfRule>
  </conditionalFormatting>
  <conditionalFormatting sqref="Q11:Q15">
    <cfRule type="cellIs" dxfId="1764" priority="62" operator="greaterThan">
      <formula>1</formula>
    </cfRule>
    <cfRule type="cellIs" dxfId="1763" priority="63" operator="lessThan">
      <formula>0.8</formula>
    </cfRule>
  </conditionalFormatting>
  <conditionalFormatting sqref="O63">
    <cfRule type="cellIs" dxfId="1762" priority="56" operator="greaterThan">
      <formula>0</formula>
    </cfRule>
  </conditionalFormatting>
  <conditionalFormatting sqref="P63">
    <cfRule type="cellIs" dxfId="1761" priority="59" operator="lessThan">
      <formula>0</formula>
    </cfRule>
  </conditionalFormatting>
  <conditionalFormatting sqref="Q63">
    <cfRule type="cellIs" dxfId="1760" priority="57" operator="greaterThan">
      <formula>1</formula>
    </cfRule>
    <cfRule type="cellIs" dxfId="1759" priority="58" operator="lessThan">
      <formula>0.8</formula>
    </cfRule>
  </conditionalFormatting>
  <conditionalFormatting sqref="R63 AG63">
    <cfRule type="cellIs" dxfId="1758" priority="60" operator="lessThan">
      <formula>0.8</formula>
    </cfRule>
  </conditionalFormatting>
  <conditionalFormatting sqref="O69">
    <cfRule type="cellIs" dxfId="1757" priority="51" operator="greaterThan">
      <formula>0</formula>
    </cfRule>
  </conditionalFormatting>
  <conditionalFormatting sqref="P69 AE69">
    <cfRule type="cellIs" dxfId="1756" priority="54" operator="lessThan">
      <formula>0</formula>
    </cfRule>
  </conditionalFormatting>
  <conditionalFormatting sqref="Q69 AF69">
    <cfRule type="cellIs" dxfId="1755" priority="52" operator="greaterThan">
      <formula>1</formula>
    </cfRule>
    <cfRule type="cellIs" dxfId="1754" priority="53" operator="lessThan">
      <formula>0.8</formula>
    </cfRule>
  </conditionalFormatting>
  <conditionalFormatting sqref="R69 AG69">
    <cfRule type="cellIs" dxfId="1753" priority="55" operator="lessThan">
      <formula>0.8</formula>
    </cfRule>
  </conditionalFormatting>
  <conditionalFormatting sqref="O78">
    <cfRule type="cellIs" dxfId="1752" priority="46" operator="greaterThan">
      <formula>0</formula>
    </cfRule>
  </conditionalFormatting>
  <conditionalFormatting sqref="P78">
    <cfRule type="cellIs" dxfId="1751" priority="49" operator="lessThan">
      <formula>0</formula>
    </cfRule>
  </conditionalFormatting>
  <conditionalFormatting sqref="Q78">
    <cfRule type="cellIs" dxfId="1750" priority="47" operator="greaterThan">
      <formula>1</formula>
    </cfRule>
    <cfRule type="cellIs" dxfId="1749" priority="48" operator="lessThan">
      <formula>0.8</formula>
    </cfRule>
  </conditionalFormatting>
  <conditionalFormatting sqref="R78">
    <cfRule type="cellIs" dxfId="1748" priority="50" operator="lessThan">
      <formula>0.8</formula>
    </cfRule>
  </conditionalFormatting>
  <conditionalFormatting sqref="O21:O22">
    <cfRule type="cellIs" dxfId="1747" priority="41" operator="greaterThan">
      <formula>0</formula>
    </cfRule>
  </conditionalFormatting>
  <conditionalFormatting sqref="P21:P22">
    <cfRule type="cellIs" dxfId="1746" priority="44" operator="lessThan">
      <formula>0</formula>
    </cfRule>
  </conditionalFormatting>
  <conditionalFormatting sqref="Q21:Q22">
    <cfRule type="cellIs" dxfId="1745" priority="42" operator="greaterThan">
      <formula>1</formula>
    </cfRule>
    <cfRule type="cellIs" dxfId="1744" priority="43" operator="lessThan">
      <formula>0.8</formula>
    </cfRule>
  </conditionalFormatting>
  <conditionalFormatting sqref="R21:R22 AG21:AG22">
    <cfRule type="cellIs" dxfId="1743" priority="45" operator="lessThan">
      <formula>0.8</formula>
    </cfRule>
  </conditionalFormatting>
  <conditionalFormatting sqref="O64">
    <cfRule type="cellIs" dxfId="1742" priority="36" operator="greaterThan">
      <formula>0</formula>
    </cfRule>
  </conditionalFormatting>
  <conditionalFormatting sqref="P64">
    <cfRule type="cellIs" dxfId="1741" priority="39" operator="lessThan">
      <formula>0</formula>
    </cfRule>
  </conditionalFormatting>
  <conditionalFormatting sqref="Q64">
    <cfRule type="cellIs" dxfId="1740" priority="37" operator="greaterThan">
      <formula>1</formula>
    </cfRule>
    <cfRule type="cellIs" dxfId="1739" priority="38" operator="lessThan">
      <formula>0.8</formula>
    </cfRule>
  </conditionalFormatting>
  <conditionalFormatting sqref="AG64 R64">
    <cfRule type="cellIs" dxfId="1738" priority="40" operator="lessThan">
      <formula>0.8</formula>
    </cfRule>
  </conditionalFormatting>
  <conditionalFormatting sqref="R32 AG32">
    <cfRule type="cellIs" dxfId="1737" priority="35" operator="lessThan">
      <formula>0.8</formula>
    </cfRule>
  </conditionalFormatting>
  <conditionalFormatting sqref="AG32">
    <cfRule type="cellIs" dxfId="1736" priority="34" operator="lessThan">
      <formula>0.8</formula>
    </cfRule>
  </conditionalFormatting>
  <conditionalFormatting sqref="O68">
    <cfRule type="cellIs" dxfId="1735" priority="29" operator="greaterThan">
      <formula>0</formula>
    </cfRule>
  </conditionalFormatting>
  <conditionalFormatting sqref="P68 AE68">
    <cfRule type="cellIs" dxfId="1734" priority="32" operator="lessThan">
      <formula>0</formula>
    </cfRule>
  </conditionalFormatting>
  <conditionalFormatting sqref="Q68 AF68">
    <cfRule type="cellIs" dxfId="1733" priority="30" operator="greaterThan">
      <formula>1</formula>
    </cfRule>
    <cfRule type="cellIs" dxfId="1732" priority="31" operator="lessThan">
      <formula>0.8</formula>
    </cfRule>
  </conditionalFormatting>
  <conditionalFormatting sqref="R68 AG68">
    <cfRule type="cellIs" dxfId="1731" priority="33" operator="lessThan">
      <formula>0.8</formula>
    </cfRule>
  </conditionalFormatting>
  <conditionalFormatting sqref="O23">
    <cfRule type="cellIs" dxfId="1730" priority="24" operator="greaterThan">
      <formula>0</formula>
    </cfRule>
  </conditionalFormatting>
  <conditionalFormatting sqref="P23">
    <cfRule type="cellIs" dxfId="1729" priority="27" operator="lessThan">
      <formula>0</formula>
    </cfRule>
  </conditionalFormatting>
  <conditionalFormatting sqref="Q23">
    <cfRule type="cellIs" dxfId="1728" priority="25" operator="greaterThan">
      <formula>1</formula>
    </cfRule>
    <cfRule type="cellIs" dxfId="1727" priority="26" operator="lessThan">
      <formula>0.8</formula>
    </cfRule>
  </conditionalFormatting>
  <conditionalFormatting sqref="AG23 R23">
    <cfRule type="cellIs" dxfId="1726" priority="28" operator="lessThan">
      <formula>0.8</formula>
    </cfRule>
  </conditionalFormatting>
  <conditionalFormatting sqref="O24">
    <cfRule type="cellIs" dxfId="1725" priority="19" operator="greaterThan">
      <formula>0</formula>
    </cfRule>
  </conditionalFormatting>
  <conditionalFormatting sqref="P24">
    <cfRule type="cellIs" dxfId="1724" priority="22" operator="lessThan">
      <formula>0</formula>
    </cfRule>
  </conditionalFormatting>
  <conditionalFormatting sqref="Q24">
    <cfRule type="cellIs" dxfId="1723" priority="20" operator="greaterThan">
      <formula>1</formula>
    </cfRule>
    <cfRule type="cellIs" dxfId="1722" priority="21" operator="lessThan">
      <formula>0.8</formula>
    </cfRule>
  </conditionalFormatting>
  <conditionalFormatting sqref="AG24 R24">
    <cfRule type="cellIs" dxfId="1721" priority="23" operator="lessThan">
      <formula>0.8</formula>
    </cfRule>
  </conditionalFormatting>
  <conditionalFormatting sqref="P9">
    <cfRule type="cellIs" dxfId="1720" priority="18" operator="lessThan">
      <formula>0</formula>
    </cfRule>
  </conditionalFormatting>
  <conditionalFormatting sqref="P25">
    <cfRule type="cellIs" dxfId="1719" priority="17" operator="lessThan">
      <formula>0</formula>
    </cfRule>
  </conditionalFormatting>
  <conditionalFormatting sqref="P33">
    <cfRule type="cellIs" dxfId="1718" priority="16" operator="lessThan">
      <formula>0</formula>
    </cfRule>
  </conditionalFormatting>
  <conditionalFormatting sqref="P42">
    <cfRule type="cellIs" dxfId="1717" priority="15" operator="lessThan">
      <formula>0</formula>
    </cfRule>
  </conditionalFormatting>
  <conditionalFormatting sqref="P56">
    <cfRule type="cellIs" dxfId="1716" priority="14" operator="lessThan">
      <formula>0</formula>
    </cfRule>
  </conditionalFormatting>
  <conditionalFormatting sqref="P66">
    <cfRule type="cellIs" dxfId="1715" priority="13" operator="lessThan">
      <formula>0</formula>
    </cfRule>
  </conditionalFormatting>
  <conditionalFormatting sqref="P71">
    <cfRule type="cellIs" dxfId="1714" priority="12" operator="lessThan">
      <formula>0</formula>
    </cfRule>
  </conditionalFormatting>
  <conditionalFormatting sqref="P80">
    <cfRule type="cellIs" dxfId="1713" priority="11" operator="lessThan">
      <formula>0</formula>
    </cfRule>
  </conditionalFormatting>
  <conditionalFormatting sqref="O79">
    <cfRule type="cellIs" dxfId="1712" priority="6" operator="greaterThan">
      <formula>0</formula>
    </cfRule>
  </conditionalFormatting>
  <conditionalFormatting sqref="P79">
    <cfRule type="cellIs" dxfId="1711" priority="9" operator="lessThan">
      <formula>0</formula>
    </cfRule>
  </conditionalFormatting>
  <conditionalFormatting sqref="Q79">
    <cfRule type="cellIs" dxfId="1710" priority="7" operator="greaterThan">
      <formula>1</formula>
    </cfRule>
    <cfRule type="cellIs" dxfId="1709" priority="8" operator="lessThan">
      <formula>0.8</formula>
    </cfRule>
  </conditionalFormatting>
  <conditionalFormatting sqref="R79">
    <cfRule type="cellIs" dxfId="1708" priority="10" operator="lessThan">
      <formula>0.8</formula>
    </cfRule>
  </conditionalFormatting>
  <conditionalFormatting sqref="O65">
    <cfRule type="cellIs" dxfId="1707" priority="1" operator="greaterThan">
      <formula>0</formula>
    </cfRule>
  </conditionalFormatting>
  <conditionalFormatting sqref="P65">
    <cfRule type="cellIs" dxfId="1706" priority="4" operator="lessThan">
      <formula>0</formula>
    </cfRule>
  </conditionalFormatting>
  <conditionalFormatting sqref="Q65">
    <cfRule type="cellIs" dxfId="1705" priority="2" operator="greaterThan">
      <formula>1</formula>
    </cfRule>
    <cfRule type="cellIs" dxfId="1704" priority="3" operator="lessThan">
      <formula>0.8</formula>
    </cfRule>
  </conditionalFormatting>
  <conditionalFormatting sqref="AG65 R65">
    <cfRule type="cellIs" dxfId="1703" priority="5" operator="lessThan">
      <formula>0.8</formula>
    </cfRule>
  </conditionalFormatting>
  <dataValidations count="1">
    <dataValidation type="list" allowBlank="1" showInputMessage="1" showErrorMessage="1" sqref="AB9 AA5:AB8 AA9:AA70 AB11:AB67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4" sqref="R14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2234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2235</v>
      </c>
      <c r="C3" s="594" t="str">
        <f>TEXT('0725 4度C'!A2,"yyyy.mm.ddaaaa")</f>
        <v>2026.07.25星期六</v>
      </c>
      <c r="D3" s="595"/>
      <c r="E3" s="36" t="s">
        <v>2236</v>
      </c>
      <c r="F3" s="596">
        <f>'0725 4度C'!D1</f>
        <v>151768</v>
      </c>
      <c r="G3" s="597"/>
      <c r="H3" s="36" t="s">
        <v>2237</v>
      </c>
      <c r="I3" s="598">
        <f>'0725 4度C'!F1</f>
        <v>5305425.7500000019</v>
      </c>
      <c r="J3" s="599"/>
      <c r="K3" s="37"/>
      <c r="L3" s="38"/>
      <c r="M3" s="39"/>
      <c r="N3" s="39"/>
    </row>
    <row r="4" spans="2:17" ht="28.5" customHeight="1">
      <c r="B4" s="600" t="s">
        <v>2238</v>
      </c>
      <c r="C4" s="586" t="s">
        <v>2239</v>
      </c>
      <c r="D4" s="587"/>
      <c r="E4" s="603" t="s">
        <v>2240</v>
      </c>
      <c r="F4" s="604"/>
      <c r="G4" s="603" t="s">
        <v>2241</v>
      </c>
      <c r="H4" s="604"/>
      <c r="I4" s="603" t="s">
        <v>2242</v>
      </c>
      <c r="J4" s="604"/>
      <c r="K4" s="584" t="s">
        <v>2243</v>
      </c>
      <c r="L4" s="585"/>
      <c r="M4" s="585" t="s">
        <v>2244</v>
      </c>
      <c r="N4" s="585"/>
    </row>
    <row r="5" spans="2:17" ht="28.5" customHeight="1">
      <c r="B5" s="601"/>
      <c r="C5" s="586" t="s">
        <v>2245</v>
      </c>
      <c r="D5" s="587"/>
      <c r="E5" s="586" t="s">
        <v>2246</v>
      </c>
      <c r="F5" s="587"/>
      <c r="G5" s="588" t="s">
        <v>2247</v>
      </c>
      <c r="H5" s="589"/>
      <c r="I5" s="590" t="s">
        <v>2248</v>
      </c>
      <c r="J5" s="591"/>
      <c r="K5" s="40" t="s">
        <v>2249</v>
      </c>
      <c r="L5" s="41" t="s">
        <v>2250</v>
      </c>
      <c r="M5" s="40" t="s">
        <v>2249</v>
      </c>
      <c r="N5" s="41" t="s">
        <v>2251</v>
      </c>
    </row>
    <row r="6" spans="2:17" ht="28.5" customHeight="1">
      <c r="B6" s="601"/>
      <c r="C6" s="586" t="s">
        <v>41</v>
      </c>
      <c r="D6" s="587"/>
      <c r="E6" s="578">
        <f>AVERAGE(D13:M13)</f>
        <v>157.80929645841462</v>
      </c>
      <c r="F6" s="579">
        <f>AVERAGE(D31:O31,D13:J13)</f>
        <v>166.22751302445019</v>
      </c>
      <c r="G6" s="580">
        <f>AVERAGE(D13:J13)</f>
        <v>166.22751302445019</v>
      </c>
      <c r="H6" s="581"/>
      <c r="I6" s="580">
        <f>AVERAGE(K13:M13)</f>
        <v>138.16679113766494</v>
      </c>
      <c r="J6" s="581"/>
      <c r="K6" s="582">
        <f>'0725 4度C'!Y2</f>
        <v>0</v>
      </c>
      <c r="L6" s="567">
        <f>'0725 4度C'!Z2</f>
        <v>0</v>
      </c>
      <c r="M6" s="583">
        <f>'0725 4度C'!AC2</f>
        <v>57</v>
      </c>
      <c r="N6" s="567">
        <f>'0725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151.59837042728674</v>
      </c>
      <c r="F7" s="571">
        <f>AVERAGE(D32:O32,D14:J14)</f>
        <v>159.90192118382433</v>
      </c>
      <c r="G7" s="572">
        <f>AVERAGE(D14:J14)</f>
        <v>159.90192118382433</v>
      </c>
      <c r="H7" s="573"/>
      <c r="I7" s="572">
        <f>AVERAGE(K14:M14)</f>
        <v>132.22341866203226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0.95980254464188719</v>
      </c>
      <c r="F8" s="575">
        <f>AVERAGE(D15:J15,D33:O33)</f>
        <v>0.96100211608053077</v>
      </c>
      <c r="G8" s="576">
        <f>AVERAGE(D15:J15)</f>
        <v>0.96100211608053077</v>
      </c>
      <c r="H8" s="577"/>
      <c r="I8" s="576">
        <f>AVERAGE(K15:M15)</f>
        <v>0.95700354461838499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2252</v>
      </c>
      <c r="N9" s="39"/>
      <c r="O9" s="39"/>
      <c r="P9" s="39"/>
      <c r="Q9" s="39"/>
    </row>
    <row r="10" spans="2:17" ht="30" customHeight="1">
      <c r="B10" s="550" t="s">
        <v>103</v>
      </c>
      <c r="C10" s="551"/>
      <c r="D10" s="552" t="s">
        <v>2253</v>
      </c>
      <c r="E10" s="553"/>
      <c r="F10" s="553"/>
      <c r="G10" s="553"/>
      <c r="H10" s="553"/>
      <c r="I10" s="553"/>
      <c r="J10" s="554"/>
      <c r="K10" s="555" t="s">
        <v>2254</v>
      </c>
      <c r="L10" s="556"/>
      <c r="M10" s="557"/>
      <c r="P10" s="45"/>
      <c r="Q10" s="45"/>
    </row>
    <row r="11" spans="2:17" ht="17.25" customHeight="1">
      <c r="B11" s="558" t="s">
        <v>213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2255</v>
      </c>
      <c r="C13" s="52" t="s">
        <v>2256</v>
      </c>
      <c r="D13" s="53">
        <f>SUMIFS('0725 4度C'!$K:$K,'0725 4度C'!$A:$A,"新豐6線",'0725 4度C'!$B:$B,"平均")</f>
        <v>130.43478260869566</v>
      </c>
      <c r="E13" s="54">
        <f>SUMIFS('0725 4度C'!$K:$K,'0725 4度C'!$A:$A,"新豐2線",'0725 4度C'!$B:$B,"平均")</f>
        <v>84.269662921348313</v>
      </c>
      <c r="F13" s="55">
        <f>SUMIFS('0725 4度C'!$K:$K,'0725 4度C'!$A:$A,"新豐5線",'0725 4度C'!$B:$B,"平均")</f>
        <v>93.023255813953497</v>
      </c>
      <c r="G13" s="55">
        <f>SUMIFS('0725 4度C'!$K:$K,'0725 4度C'!$A:$A,"新豐7線",'0725 4度C'!$B:$B,"平均")</f>
        <v>127.27272727272728</v>
      </c>
      <c r="H13" s="55">
        <f>SUMIFS('0725 4度C'!$K:$K,'0725 4度C'!$A:$A,"新豐3線",'0725 4度C'!$B:$B,"平均")</f>
        <v>307.69230769230768</v>
      </c>
      <c r="I13" s="55">
        <f>SUMIFS('0725 4度C'!$K:$K,'0725 4度C'!$A:$A,"新豐1線",'0725 4度C'!$B:$B,"平均")</f>
        <v>113.20754716981131</v>
      </c>
      <c r="J13" s="56">
        <f>SUMIFS('0725 4度C'!$K:$K,'0725 4度C'!$A:$A,"新豐10線",'0725 4度C'!$B:$B,"平均")</f>
        <v>307.69230769230768</v>
      </c>
      <c r="K13" s="57">
        <f>SUMIFS('0725 4度C'!$K:$K,'0725 4度C'!$A:$A,"新豐8線",'0725 4度C'!$B:$B,"平均")</f>
        <v>138.46153846153848</v>
      </c>
      <c r="L13" s="58">
        <f>SUMIFS('0725 4度C'!$K:$K,'0725 4度C'!$A:$A,"新豐9線",'0725 4度C'!$B:$B,"平均")</f>
        <v>132.03883495145629</v>
      </c>
      <c r="M13" s="56">
        <f>SUMIFS('0725 4度C'!$K:$K,'0725 4度C'!$A:$A,"新豐4線",'0725 4度C'!$B:$B,"平均")</f>
        <v>144</v>
      </c>
    </row>
    <row r="14" spans="2:17" ht="39.6" customHeight="1">
      <c r="B14" s="563"/>
      <c r="C14" s="59" t="s">
        <v>2257</v>
      </c>
      <c r="D14" s="60">
        <f>SUMIFS('0725 4度C'!$N:$N,'0725 4度C'!$A:$A,"新豐6線",'0725 4度C'!$B:$B,"平均")</f>
        <v>125.67617165443259</v>
      </c>
      <c r="E14" s="61">
        <f>SUMIFS('0725 4度C'!$N:$N,'0725 4度C'!$A:$A,"新豐2線",'0725 4度C'!$B:$B,"平均")</f>
        <v>80.681112784295095</v>
      </c>
      <c r="F14" s="61">
        <f>SUMIFS('0725 4度C'!$N:$N,'0725 4度C'!$A:$A,"新豐5線",'0725 4度C'!$B:$B,"平均")</f>
        <v>89.170343803483348</v>
      </c>
      <c r="G14" s="61">
        <f>SUMIFS('0725 4度C'!$N:$N,'0725 4度C'!$A:$A,"新豐7線",'0725 4度C'!$B:$B,"平均")</f>
        <v>122.12751183251223</v>
      </c>
      <c r="H14" s="61">
        <f>SUMIFS('0725 4度C'!$N:$N,'0725 4度C'!$A:$A,"新豐3線",'0725 4度C'!$B:$B,"平均")</f>
        <v>295.99973057344749</v>
      </c>
      <c r="I14" s="61">
        <f>SUMIFS('0725 4度C'!$N:$N,'0725 4度C'!$A:$A,"新豐1線",'0725 4度C'!$B:$B,"平均")</f>
        <v>108.81270806102289</v>
      </c>
      <c r="J14" s="62">
        <f>SUMIFS('0725 4度C'!$N:$N,'0725 4度C'!$A:$A,"新豐10線",'0725 4度C'!$B:$B,"平均")</f>
        <v>296.84586957757676</v>
      </c>
      <c r="K14" s="63">
        <f>SUMIFS('0725 4度C'!$N:$N,'0725 4度C'!$A:$A,"新豐8線",'0725 4度C'!$B:$B,"平均")</f>
        <v>132.46731582209091</v>
      </c>
      <c r="L14" s="64">
        <f>SUMIFS('0725 4度C'!$N:$N,'0725 4度C'!$A:$A,"新豐9線",'0725 4度C'!$B:$B,"平均")</f>
        <v>126.46876958100847</v>
      </c>
      <c r="M14" s="62">
        <f>SUMIFS('0725 4度C'!$N:$N,'0725 4度C'!$A:$A,"新豐4線",'0725 4度C'!$B:$B,"平均")</f>
        <v>137.73417058299739</v>
      </c>
    </row>
    <row r="15" spans="2:17" ht="40.15" customHeight="1">
      <c r="B15" s="564"/>
      <c r="C15" s="65" t="s">
        <v>217</v>
      </c>
      <c r="D15" s="66">
        <f t="shared" ref="D15:M15" si="0">D14/D13</f>
        <v>0.96351731601731649</v>
      </c>
      <c r="E15" s="67">
        <f t="shared" si="0"/>
        <v>0.95741587170696851</v>
      </c>
      <c r="F15" s="67">
        <f t="shared" si="0"/>
        <v>0.95858119588744595</v>
      </c>
      <c r="G15" s="67">
        <f t="shared" si="0"/>
        <v>0.9595733072554532</v>
      </c>
      <c r="H15" s="67">
        <f t="shared" si="0"/>
        <v>0.96199912436370438</v>
      </c>
      <c r="I15" s="67">
        <f t="shared" si="0"/>
        <v>0.96117892120570225</v>
      </c>
      <c r="J15" s="68">
        <f t="shared" si="0"/>
        <v>0.96474907612712457</v>
      </c>
      <c r="K15" s="66">
        <f t="shared" si="0"/>
        <v>0.95670839204843416</v>
      </c>
      <c r="L15" s="67">
        <f t="shared" si="0"/>
        <v>0.95781494609146134</v>
      </c>
      <c r="M15" s="68">
        <f t="shared" si="0"/>
        <v>0.9564872957152597</v>
      </c>
    </row>
    <row r="16" spans="2:17" ht="17.25" customHeight="1">
      <c r="B16" s="565" t="s">
        <v>2258</v>
      </c>
      <c r="C16" s="69" t="s">
        <v>2259</v>
      </c>
      <c r="D16" s="70">
        <f>VLOOKUP("新豐6線",'0725 4度C'!$A:$T,19,0)</f>
        <v>0.70833333333333337</v>
      </c>
      <c r="E16" s="71">
        <f>VLOOKUP("新豐2線",'0725 4度C'!$A:$T,19,0)</f>
        <v>8.3333333333333329E-2</v>
      </c>
      <c r="F16" s="71">
        <f>VLOOKUP("新豐5線",'0725 4度C'!$A:$T,19,0)</f>
        <v>8.3333333333333329E-2</v>
      </c>
      <c r="G16" s="71">
        <f>VLOOKUP("新豐7線",'0725 4度C'!$A:$T,19,0)</f>
        <v>0.20833333333333334</v>
      </c>
      <c r="H16" s="71">
        <f>VLOOKUP("新豐3線",'0725 4度C'!$A:$T,19,0)</f>
        <v>0.20833333333333334</v>
      </c>
      <c r="I16" s="71">
        <f>VLOOKUP("新豐1線",'0725 4度C'!$A:$T,19,0)</f>
        <v>0.20833333333333334</v>
      </c>
      <c r="J16" s="72">
        <f>VLOOKUP("新豐10線",'0725 4度C'!$A:$T,19,0)</f>
        <v>0.20833333333333334</v>
      </c>
      <c r="K16" s="73">
        <f>VLOOKUP("新豐8線",'0725 4度C'!$A:$T,19,0)</f>
        <v>8.3333333333333329E-2</v>
      </c>
      <c r="L16" s="74">
        <f>VLOOKUP("新豐9線",'0725 4度C'!$A:$T,19,0)</f>
        <v>8.3333333333333329E-2</v>
      </c>
      <c r="M16" s="75">
        <f>VLOOKUP("新豐4線",'0725 4度C'!$A:$T,19,0)</f>
        <v>8.3333333333333329E-2</v>
      </c>
    </row>
    <row r="17" spans="2:13" ht="17.25" customHeight="1">
      <c r="B17" s="566"/>
      <c r="C17" s="69" t="s">
        <v>2260</v>
      </c>
      <c r="D17" s="73">
        <f>LOOKUP(2,1/(('0725 4度C'!$A:$A="新豐6線")*('0725 4度C'!$T:$T&lt;&gt;"")),'0725 4度C'!$T:$T)</f>
        <v>0.83819444444444435</v>
      </c>
      <c r="E17" s="71">
        <f>LOOKUP(2,1/(('0725 4度C'!$A:$A="新豐2線")*('0725 4度C'!$T:$T&lt;&gt;"")),'0725 4度C'!$T:$T)</f>
        <v>0.57916666666666661</v>
      </c>
      <c r="F17" s="71">
        <f>LOOKUP(2,1/(('0725 4度C'!$A:$A="新豐5線")*('0725 4度C'!$T:$T&lt;&gt;"")),'0725 4度C'!$T:$T)</f>
        <v>0.85416666666666663</v>
      </c>
      <c r="G17" s="71">
        <f>LOOKUP(2,1/(('0725 4度C'!$A:$A="新豐7線")*('0725 4度C'!$T:$T&lt;&gt;"")),'0725 4度C'!$T:$T)</f>
        <v>0.89722222222222225</v>
      </c>
      <c r="H17" s="71">
        <f>LOOKUP(2,1/(('0725 4度C'!$A:$A="新豐3線")*('0725 4度C'!$T:$T&lt;&gt;"")),'0725 4度C'!$T:$T)</f>
        <v>0.40694444444444439</v>
      </c>
      <c r="I17" s="71">
        <f>LOOKUP(2,1/(('0725 4度C'!$A:$A="新豐1線")*('0725 4度C'!$T:$T&lt;&gt;"")),'0725 4度C'!$T:$T)</f>
        <v>0.92291666666666672</v>
      </c>
      <c r="J17" s="72">
        <f>LOOKUP(2,1/(('0725 4度C'!$A:$A="新豐10線")*('0725 4度C'!$T:$T&lt;&gt;"")),'0725 4度C'!$T:$T)</f>
        <v>0.34861111111111109</v>
      </c>
      <c r="K17" s="70">
        <f>LOOKUP(2,1/(('0725 4度C'!$A:$A="新豐8線")*('0725 4度C'!$T:$T&lt;&gt;"")),'0725 4度C'!$T:$T)</f>
        <v>0.59027777777777779</v>
      </c>
      <c r="L17" s="71">
        <f>LOOKUP(2,1/(('0725 4度C'!$A:$A="新豐9線")*('0725 4度C'!$T:$T&lt;&gt;"")),'0725 4度C'!$T:$T)</f>
        <v>0.58680555555555558</v>
      </c>
      <c r="M17" s="72">
        <f>LOOKUP(2,1/(('0725 4度C'!$A:$A="新豐4線")*('0725 4度C'!$T:$T&lt;&gt;"")),'0725 4度C'!$T:$T)</f>
        <v>0.59583333333333321</v>
      </c>
    </row>
    <row r="18" spans="2:13" ht="17.25" customHeight="1">
      <c r="B18" s="544" t="s">
        <v>2261</v>
      </c>
      <c r="C18" s="76" t="s">
        <v>2262</v>
      </c>
      <c r="D18" s="77">
        <f>SUMIFS('0725 4度C'!$Y:$Y,'0725 4度C'!$A:$A,"新豐6線",'0725 4度C'!$B:$B,"平均")</f>
        <v>0</v>
      </c>
      <c r="E18" s="78">
        <f>SUMIFS('0725 4度C'!$Y:$Y,'0725 4度C'!$A:$A,"新豐2線",'0725 4度C'!$B:$B,"平均")</f>
        <v>0</v>
      </c>
      <c r="F18" s="78">
        <f>SUMIFS('0725 4度C'!$Y:$Y,'0725 4度C'!$A:$A,"新豐5線",'0725 4度C'!$B:$B,"平均")</f>
        <v>0</v>
      </c>
      <c r="G18" s="78">
        <f>SUMIFS('0725 4度C'!$Y:$Y,'0725 4度C'!$A:$A,"新豐7線",'0725 4度C'!$B:$B,"平均")</f>
        <v>0</v>
      </c>
      <c r="H18" s="78">
        <f>SUMIFS('0725 4度C'!$Y:$Y,'0725 4度C'!$A:$A,"新豐3線",'0725 4度C'!$B:$B,"平均")</f>
        <v>0</v>
      </c>
      <c r="I18" s="78">
        <f>SUMIFS('0725 4度C'!$Y:$Y,'0725 4度C'!$A:$A,"新豐1線",'0725 4度C'!$B:$B,"平均")</f>
        <v>0</v>
      </c>
      <c r="J18" s="79">
        <f>SUMIFS('0725 4度C'!$Y:$Y,'0725 4度C'!$A:$A,"新豐10線",'0725 4度C'!$B:$B,"平均")</f>
        <v>0</v>
      </c>
      <c r="K18" s="80">
        <f>SUMIFS('0725 4度C'!$Y:$Y,'0725 4度C'!$A:$A,"新豐8線",'0725 4度C'!$B:$B,"平均")</f>
        <v>0</v>
      </c>
      <c r="L18" s="78">
        <f>SUMIFS('0725 4度C'!$Y:$Y,'0725 4度C'!$A:$A,"新豐9線",'0725 4度C'!$B:$B,"平均")</f>
        <v>0</v>
      </c>
      <c r="M18" s="79">
        <f>SUMIFS('0725 4度C'!$Y:$Y,'0725 4度C'!$A:$A,"新豐4線",'0725 4度C'!$B:$B,"平均")</f>
        <v>0</v>
      </c>
    </row>
    <row r="19" spans="2:13" ht="17.25" customHeight="1">
      <c r="B19" s="545"/>
      <c r="C19" s="76" t="s">
        <v>2263</v>
      </c>
      <c r="D19" s="77">
        <f>SUMIFS('0725 4度C'!$Z:$Z,'0725 4度C'!$A:$A,"新豐6線",'0725 4度C'!$B:$B,"平均")</f>
        <v>0</v>
      </c>
      <c r="E19" s="78">
        <f>SUMIFS('0725 4度C'!$Z:$Z,'0725 4度C'!$A:$A,"新豐2線",'0725 4度C'!$B:$B,"平均")</f>
        <v>0</v>
      </c>
      <c r="F19" s="78">
        <f>SUMIFS('0725 4度C'!$Z:$Z,'0725 4度C'!$A:$A,"新豐5線",'0725 4度C'!$B:$B,"平均")</f>
        <v>0</v>
      </c>
      <c r="G19" s="78">
        <f>SUMIFS('0725 4度C'!$Z:$Z,'0725 4度C'!$A:$A,"新豐7線",'0725 4度C'!$B:$B,"平均")</f>
        <v>0</v>
      </c>
      <c r="H19" s="78">
        <f>SUMIFS('0725 4度C'!$Z:$Z,'0725 4度C'!$A:$A,"新豐3線",'0725 4度C'!$B:$B,"平均")</f>
        <v>0</v>
      </c>
      <c r="I19" s="78">
        <f>SUMIFS('0725 4度C'!$Z:$Z,'0725 4度C'!$A:$A,"新豐1線",'0725 4度C'!$B:$B,"平均")</f>
        <v>0</v>
      </c>
      <c r="J19" s="79">
        <f>SUMIFS('0725 4度C'!$Z:$Z,'0725 4度C'!$A:$A,"新豐10線",'0725 4度C'!$B:$B,"平均")</f>
        <v>0</v>
      </c>
      <c r="K19" s="80">
        <f>SUMIFS('0725 4度C'!$Z:$Z,'0725 4度C'!$A:$A,"新豐8線",'0725 4度C'!$B:$B,"平均")</f>
        <v>0</v>
      </c>
      <c r="L19" s="78">
        <f>SUMIFS('0725 4度C'!$Z:$Z,'0725 4度C'!$A:$A,"新豐9線",'0725 4度C'!$B:$B,"平均")</f>
        <v>0</v>
      </c>
      <c r="M19" s="79">
        <f>SUMIFS('0725 4度C'!$Z:$Z,'0725 4度C'!$A:$A,"新豐4線",'0725 4度C'!$B:$B,"平均")</f>
        <v>0</v>
      </c>
    </row>
    <row r="20" spans="2:13" ht="17.25" customHeight="1">
      <c r="B20" s="544" t="s">
        <v>2264</v>
      </c>
      <c r="C20" s="76" t="s">
        <v>2262</v>
      </c>
      <c r="D20" s="77">
        <f>SUMIFS('0725 4度C'!$AC:$AC,'0725 4度C'!$A:$A,"新豐6線",'0725 4度C'!$B:$B,"平均")</f>
        <v>3</v>
      </c>
      <c r="E20" s="78">
        <f>SUMIFS('0725 4度C'!$AC:$AC,'0725 4度C'!$A:$A,"新豐2線",'0725 4度C'!$B:$B,"平均")</f>
        <v>5</v>
      </c>
      <c r="F20" s="78">
        <f>SUMIFS('0725 4度C'!$AC:$AC,'0725 4度C'!$A:$A,"新豐5線",'0725 4度C'!$B:$B,"平均")</f>
        <v>7</v>
      </c>
      <c r="G20" s="78">
        <f>SUMIFS('0725 4度C'!$AC:$AC,'0725 4度C'!$A:$A,"新豐7線",'0725 4度C'!$B:$B,"平均")</f>
        <v>7</v>
      </c>
      <c r="H20" s="78">
        <f>SUMIFS('0725 4度C'!$AC:$AC,'0725 4度C'!$A:$A,"新豐3線",'0725 4度C'!$B:$B,"平均")</f>
        <v>4</v>
      </c>
      <c r="I20" s="78">
        <f>SUMIFS('0725 4度C'!$AC:$AC,'0725 4度C'!$A:$A,"新豐1線",'0725 4度C'!$B:$B,"平均")</f>
        <v>9</v>
      </c>
      <c r="J20" s="79">
        <f>SUMIFS('0725 4度C'!$AC:$AC,'0725 4度C'!$A:$A,"新豐10線",'0725 4度C'!$B:$B,"平均")</f>
        <v>4</v>
      </c>
      <c r="K20" s="80">
        <f>SUMIFS('0725 4度C'!$AC:$AC,'0725 4度C'!$A:$A,"新豐8線",'0725 4度C'!$B:$B,"平均")</f>
        <v>6</v>
      </c>
      <c r="L20" s="78">
        <f>SUMIFS('0725 4度C'!$AC:$AC,'0725 4度C'!$A:$A,"新豐9線",'0725 4度C'!$B:$B,"平均")</f>
        <v>6</v>
      </c>
      <c r="M20" s="79">
        <f>SUMIFS('0725 4度C'!$AC:$AC,'0725 4度C'!$A:$A,"新豐4線",'0725 4度C'!$B:$B,"平均")</f>
        <v>6</v>
      </c>
    </row>
    <row r="21" spans="2:13" ht="17.25" customHeight="1">
      <c r="B21" s="545"/>
      <c r="C21" s="76" t="s">
        <v>2265</v>
      </c>
      <c r="D21" s="77">
        <f>SUMIFS('0725 4度C'!$AD:$AD,'0725 4度C'!$A:$A,"新豐6線",'0725 4度C'!$B:$B,"平均")</f>
        <v>0</v>
      </c>
      <c r="E21" s="78">
        <f>SUMIFS('0725 4度C'!$AD:$AD,'0725 4度C'!$A:$A,"新豐2線",'0725 4度C'!$B:$B,"平均")</f>
        <v>0</v>
      </c>
      <c r="F21" s="78">
        <f>SUMIFS('0725 4度C'!$AD:$AD,'0725 4度C'!$A:$A,"新豐5線",'0725 4度C'!$B:$B,"平均")</f>
        <v>0</v>
      </c>
      <c r="G21" s="78">
        <f>SUMIFS('0725 4度C'!$AD:$AD,'0725 4度C'!$A:$A,"新豐7線",'0725 4度C'!$B:$B,"平均")</f>
        <v>0</v>
      </c>
      <c r="H21" s="78">
        <f>SUMIFS('0725 4度C'!$AD:$AD,'0725 4度C'!$A:$A,"新豐3線",'0725 4度C'!$B:$B,"平均")</f>
        <v>0</v>
      </c>
      <c r="I21" s="78">
        <f>SUMIFS('0725 4度C'!$AD:$AD,'0725 4度C'!$A:$A,"新豐1線",'0725 4度C'!$B:$B,"平均")</f>
        <v>0</v>
      </c>
      <c r="J21" s="79">
        <f>SUMIFS('0725 4度C'!$AD:$AD,'0725 4度C'!$A:$A,"新豐10線",'0725 4度C'!$B:$B,"平均")</f>
        <v>0</v>
      </c>
      <c r="K21" s="80">
        <f>SUMIFS('0725 4度C'!$AD:$AD,'0725 4度C'!$A:$A,"新豐8線",'0725 4度C'!$B:$B,"平均")</f>
        <v>0</v>
      </c>
      <c r="L21" s="78">
        <f>SUMIFS('0725 4度C'!$AD:$AD,'0725 4度C'!$A:$A,"新豐9線",'0725 4度C'!$B:$B,"平均")</f>
        <v>0</v>
      </c>
      <c r="M21" s="79">
        <f>SUMIFS('0725 4度C'!$AD:$AD,'0725 4度C'!$A:$A,"新豐4線",'0725 4度C'!$B:$B,"平均")</f>
        <v>0</v>
      </c>
    </row>
    <row r="22" spans="2:13" ht="17.25" customHeight="1">
      <c r="B22" s="546" t="s">
        <v>118</v>
      </c>
      <c r="C22" s="547"/>
      <c r="D22" s="81">
        <f>SUMIFS('0725 4度C'!$I:$I,'0725 4度C'!$A:$A,"新豐6線",'0725 4度C'!$B:$B,"平均")</f>
        <v>15.333333333333334</v>
      </c>
      <c r="E22" s="82">
        <f>SUMIFS('0725 4度C'!$I:$I,'0725 4度C'!$A:$A,"新豐2線",'0725 4度C'!$B:$B,"平均")</f>
        <v>17.8</v>
      </c>
      <c r="F22" s="82">
        <f>SUMIFS('0725 4度C'!$I:$I,'0725 4度C'!$A:$A,"新豐5線",'0725 4度C'!$B:$B,"平均")</f>
        <v>18.428571428571427</v>
      </c>
      <c r="G22" s="82">
        <f>SUMIFS('0725 4度C'!$I:$I,'0725 4度C'!$A:$A,"新豐7線",'0725 4度C'!$B:$B,"平均")</f>
        <v>15.714285714285714</v>
      </c>
      <c r="H22" s="82">
        <f>SUMIFS('0725 4度C'!$I:$I,'0725 4度C'!$A:$A,"新豐3線",'0725 4度C'!$B:$B,"平均")</f>
        <v>9.75</v>
      </c>
      <c r="I22" s="82">
        <f>SUMIFS('0725 4度C'!$I:$I,'0725 4度C'!$A:$A,"新豐1線",'0725 4度C'!$B:$B,"平均")</f>
        <v>17.666666666666668</v>
      </c>
      <c r="J22" s="83">
        <f>SUMIFS('0725 4度C'!$I:$I,'0725 4度C'!$A:$A,"新豐10線",'0725 4度C'!$B:$B,"平均")</f>
        <v>9.75</v>
      </c>
      <c r="K22" s="81">
        <f>SUMIFS('0725 4度C'!$I:$I,'0725 4度C'!$A:$A,"新豐8線",'0725 4度C'!$B:$B,"平均")</f>
        <v>17.333333333333332</v>
      </c>
      <c r="L22" s="82">
        <f>SUMIFS('0725 4度C'!$I:$I,'0725 4度C'!$A:$A,"新豐9線",'0725 4度C'!$B:$B,"平均")</f>
        <v>17.166666666666668</v>
      </c>
      <c r="M22" s="83">
        <f>SUMIFS('0725 4度C'!$I:$I,'0725 4度C'!$A:$A,"新豐4線",'0725 4度C'!$B:$B,"平均")</f>
        <v>16.666666666666668</v>
      </c>
    </row>
    <row r="23" spans="2:13" ht="17.25" customHeight="1">
      <c r="B23" s="546" t="s">
        <v>2266</v>
      </c>
      <c r="C23" s="547"/>
      <c r="D23" s="84" t="s">
        <v>54</v>
      </c>
      <c r="E23" s="85" t="s">
        <v>55</v>
      </c>
      <c r="F23" s="85" t="s">
        <v>2267</v>
      </c>
      <c r="G23" s="85" t="s">
        <v>2267</v>
      </c>
      <c r="H23" s="85" t="s">
        <v>56</v>
      </c>
      <c r="I23" s="85" t="s">
        <v>54</v>
      </c>
      <c r="J23" s="86" t="s">
        <v>56</v>
      </c>
      <c r="K23" s="84" t="s">
        <v>2268</v>
      </c>
      <c r="L23" s="85" t="s">
        <v>229</v>
      </c>
      <c r="M23" s="86" t="s">
        <v>2269</v>
      </c>
    </row>
    <row r="24" spans="2:13" ht="17.25" customHeight="1">
      <c r="B24" s="546" t="s">
        <v>2270</v>
      </c>
      <c r="C24" s="547"/>
      <c r="D24" s="84"/>
      <c r="E24" s="85"/>
      <c r="F24" s="85" t="s">
        <v>327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2271</v>
      </c>
      <c r="C25" s="549"/>
      <c r="D25" s="87"/>
      <c r="E25" s="88" t="s">
        <v>2272</v>
      </c>
      <c r="F25" s="542" t="s">
        <v>126</v>
      </c>
      <c r="G25" s="543"/>
      <c r="H25" s="88" t="s">
        <v>2273</v>
      </c>
      <c r="I25" s="88" t="s">
        <v>2274</v>
      </c>
      <c r="J25" s="89" t="s">
        <v>2275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0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O12" sqref="O12"/>
      <selection pane="bottomLeft" activeCell="O12" sqref="O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2276</v>
      </c>
      <c r="B1" s="1"/>
      <c r="C1" s="2" t="s">
        <v>2277</v>
      </c>
      <c r="D1" s="3">
        <f>SUM(F5:F71)</f>
        <v>151768</v>
      </c>
      <c r="E1" s="438" t="s">
        <v>2278</v>
      </c>
      <c r="F1" s="1">
        <f>SUM(G5:G71)</f>
        <v>5305425.7500000019</v>
      </c>
      <c r="G1" s="1" t="s">
        <v>2279</v>
      </c>
      <c r="H1" s="4">
        <f>L8+L14+L49+L59+L22+L64+L37+L44+L30+L71</f>
        <v>155.60952380952381</v>
      </c>
      <c r="I1" s="654" t="s">
        <v>2280</v>
      </c>
      <c r="J1" s="654"/>
      <c r="K1" s="654"/>
      <c r="L1" s="654" t="s">
        <v>2281</v>
      </c>
      <c r="M1" s="654"/>
      <c r="N1" s="654"/>
      <c r="O1" s="654" t="s">
        <v>2282</v>
      </c>
      <c r="P1" s="654"/>
      <c r="Q1" s="654"/>
      <c r="R1" s="654"/>
      <c r="S1" s="654" t="s">
        <v>2283</v>
      </c>
      <c r="T1" s="654"/>
      <c r="U1" s="654"/>
      <c r="V1" s="654"/>
      <c r="W1" s="654"/>
      <c r="X1" s="654"/>
      <c r="Y1" s="5" t="s">
        <v>2284</v>
      </c>
      <c r="Z1" s="6" t="s">
        <v>2285</v>
      </c>
      <c r="AA1" s="655" t="s">
        <v>2286</v>
      </c>
      <c r="AB1" s="655"/>
      <c r="AC1" s="92" t="s">
        <v>2284</v>
      </c>
      <c r="AD1" s="6" t="s">
        <v>2287</v>
      </c>
      <c r="AE1" s="654" t="s">
        <v>2288</v>
      </c>
      <c r="AF1" s="656"/>
      <c r="AG1" s="656"/>
    </row>
    <row r="2" spans="1:33" ht="26.25" customHeight="1">
      <c r="A2" s="25">
        <v>46228</v>
      </c>
      <c r="B2" s="26" t="s">
        <v>433</v>
      </c>
      <c r="C2" s="2" t="s">
        <v>2255</v>
      </c>
      <c r="D2" s="8">
        <f>AVERAGE(N8,N14,N49,N59,N22,N64,N30,N37,N44,N71)</f>
        <v>151.59837042728674</v>
      </c>
      <c r="E2" s="9" t="s">
        <v>0</v>
      </c>
      <c r="F2" s="10">
        <f>F1/D1</f>
        <v>34.957472919192462</v>
      </c>
      <c r="G2" s="1" t="s">
        <v>2289</v>
      </c>
      <c r="H2" s="448">
        <f>COUNT(H5:H71)</f>
        <v>6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SUM(Y8+Y14+Y22+Y30+Y37+Y44+Y49+Y59+Y64+Y71)</f>
        <v>0</v>
      </c>
      <c r="Z2" s="11">
        <f>SUM(Z8+Z14+Z22+Z30+Z37+Z44+Z49+Z59+Z64+Z71)</f>
        <v>0</v>
      </c>
      <c r="AA2" s="655"/>
      <c r="AB2" s="655"/>
      <c r="AC2" s="11">
        <v>57</v>
      </c>
      <c r="AD2" s="11">
        <f>SUM(AD8+AD14+AD22+AD30+AD37+AD44+AD49+AD59+AD64+AD71)</f>
        <v>0</v>
      </c>
      <c r="AE2" s="656"/>
      <c r="AF2" s="656"/>
      <c r="AG2" s="656"/>
    </row>
    <row r="3" spans="1:33" ht="40.5" customHeight="1">
      <c r="A3" s="612" t="s">
        <v>2290</v>
      </c>
      <c r="B3" s="612" t="s">
        <v>2291</v>
      </c>
      <c r="C3" s="612" t="s">
        <v>2292</v>
      </c>
      <c r="D3" s="612"/>
      <c r="E3" s="652" t="s">
        <v>2293</v>
      </c>
      <c r="F3" s="612" t="s">
        <v>2294</v>
      </c>
      <c r="G3" s="652" t="s">
        <v>2295</v>
      </c>
      <c r="H3" s="645" t="s">
        <v>2296</v>
      </c>
      <c r="I3" s="644" t="s">
        <v>2297</v>
      </c>
      <c r="J3" s="641" t="s">
        <v>2298</v>
      </c>
      <c r="K3" s="650" t="s">
        <v>2255</v>
      </c>
      <c r="L3" s="644" t="s">
        <v>2297</v>
      </c>
      <c r="M3" s="641" t="s">
        <v>2298</v>
      </c>
      <c r="N3" s="650" t="s">
        <v>2255</v>
      </c>
      <c r="O3" s="644" t="s">
        <v>2297</v>
      </c>
      <c r="P3" s="650" t="s">
        <v>2255</v>
      </c>
      <c r="Q3" s="642" t="s">
        <v>2299</v>
      </c>
      <c r="R3" s="621" t="s">
        <v>2300</v>
      </c>
      <c r="S3" s="651" t="s">
        <v>1</v>
      </c>
      <c r="T3" s="651"/>
      <c r="U3" s="645" t="s">
        <v>2</v>
      </c>
      <c r="V3" s="645" t="s">
        <v>2301</v>
      </c>
      <c r="W3" s="612" t="s">
        <v>2302</v>
      </c>
      <c r="X3" s="612"/>
      <c r="Y3" s="646" t="s">
        <v>2303</v>
      </c>
      <c r="Z3" s="611"/>
      <c r="AA3" s="647" t="s">
        <v>2304</v>
      </c>
      <c r="AB3" s="648"/>
      <c r="AC3" s="646" t="s">
        <v>2305</v>
      </c>
      <c r="AD3" s="611"/>
      <c r="AE3" s="641" t="s">
        <v>2306</v>
      </c>
      <c r="AF3" s="642" t="s">
        <v>2307</v>
      </c>
      <c r="AG3" s="621" t="s">
        <v>2300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47" t="s">
        <v>3</v>
      </c>
      <c r="T4" s="447" t="s">
        <v>4</v>
      </c>
      <c r="U4" s="645"/>
      <c r="V4" s="645"/>
      <c r="W4" s="438" t="s">
        <v>2308</v>
      </c>
      <c r="X4" s="438" t="s">
        <v>2309</v>
      </c>
      <c r="Y4" s="437" t="s">
        <v>2310</v>
      </c>
      <c r="Z4" s="437" t="s">
        <v>2311</v>
      </c>
      <c r="AA4" s="649"/>
      <c r="AB4" s="648"/>
      <c r="AC4" s="437" t="s">
        <v>2312</v>
      </c>
      <c r="AD4" s="437" t="s">
        <v>2313</v>
      </c>
      <c r="AE4" s="641"/>
      <c r="AF4" s="642"/>
      <c r="AG4" s="621"/>
    </row>
    <row r="5" spans="1:33">
      <c r="A5" s="643" t="s">
        <v>2314</v>
      </c>
      <c r="B5" s="27" t="s">
        <v>5</v>
      </c>
      <c r="C5" s="657" t="s">
        <v>14</v>
      </c>
      <c r="D5" s="657"/>
      <c r="E5" s="27">
        <v>50.92</v>
      </c>
      <c r="F5" s="447">
        <v>2010</v>
      </c>
      <c r="G5" s="438">
        <f t="shared" ref="G5:G7" si="0">E5*F5</f>
        <v>102349.2</v>
      </c>
      <c r="H5" s="31" t="s">
        <v>40</v>
      </c>
      <c r="I5" s="445">
        <v>15</v>
      </c>
      <c r="J5" s="29">
        <v>2000</v>
      </c>
      <c r="K5" s="12">
        <f t="shared" ref="K5:K68" si="1">J5/I5</f>
        <v>133.33333333333334</v>
      </c>
      <c r="L5" s="445">
        <v>15</v>
      </c>
      <c r="M5" s="13">
        <f t="shared" ref="M5:M7" si="2">F5/V5*60</f>
        <v>1914.2857142857163</v>
      </c>
      <c r="N5" s="12">
        <f t="shared" ref="N5:N68" si="3">M5/L5</f>
        <v>127.61904761904775</v>
      </c>
      <c r="O5" s="14">
        <f t="shared" ref="O5:O68" si="4">L5-I5</f>
        <v>0</v>
      </c>
      <c r="P5" s="15">
        <f t="shared" ref="P5:P68" si="5">N5-K5</f>
        <v>-5.7142857142855945</v>
      </c>
      <c r="Q5" s="443">
        <f t="shared" ref="Q5:Q68" si="6">N5/K5</f>
        <v>0.95714285714285807</v>
      </c>
      <c r="R5" s="616">
        <f>Q8</f>
        <v>0.96351731601731649</v>
      </c>
      <c r="S5" s="32">
        <v>0.70833333333333337</v>
      </c>
      <c r="T5" s="32">
        <v>0.75208333333333333</v>
      </c>
      <c r="U5" s="438"/>
      <c r="V5" s="446">
        <f t="shared" ref="V5:V7" si="7">(T5-S5)*24*60</f>
        <v>62.999999999999936</v>
      </c>
      <c r="W5" s="16"/>
      <c r="X5" s="16"/>
      <c r="Y5" s="17"/>
      <c r="Z5" s="17"/>
      <c r="AA5" s="612"/>
      <c r="AB5" s="612"/>
      <c r="AC5" s="18">
        <v>3</v>
      </c>
      <c r="AD5" s="18"/>
      <c r="AE5" s="14">
        <f t="shared" ref="AE5:AE58" si="8">M5-J5</f>
        <v>-85.714285714283733</v>
      </c>
      <c r="AF5" s="443">
        <f t="shared" ref="AF5:AF68" si="9">M5/J5</f>
        <v>0.95714285714285818</v>
      </c>
      <c r="AG5" s="616">
        <f>AF8</f>
        <v>0.96351731601731661</v>
      </c>
    </row>
    <row r="6" spans="1:33">
      <c r="A6" s="644" t="s">
        <v>2315</v>
      </c>
      <c r="B6" s="27" t="s">
        <v>5</v>
      </c>
      <c r="C6" s="657" t="s">
        <v>19</v>
      </c>
      <c r="D6" s="657"/>
      <c r="E6" s="27">
        <v>50.98</v>
      </c>
      <c r="F6" s="447">
        <v>2119</v>
      </c>
      <c r="G6" s="438">
        <f t="shared" si="0"/>
        <v>108026.62</v>
      </c>
      <c r="H6" s="31" t="s">
        <v>40</v>
      </c>
      <c r="I6" s="445">
        <v>16</v>
      </c>
      <c r="J6" s="29">
        <v>2000</v>
      </c>
      <c r="K6" s="12">
        <f t="shared" si="1"/>
        <v>125</v>
      </c>
      <c r="L6" s="445">
        <v>16</v>
      </c>
      <c r="M6" s="13">
        <f t="shared" si="2"/>
        <v>1926.3636363636383</v>
      </c>
      <c r="N6" s="12">
        <f t="shared" si="3"/>
        <v>120.39772727272739</v>
      </c>
      <c r="O6" s="14">
        <f t="shared" si="4"/>
        <v>0</v>
      </c>
      <c r="P6" s="15">
        <f t="shared" si="5"/>
        <v>-4.6022727272726058</v>
      </c>
      <c r="Q6" s="443">
        <f t="shared" si="6"/>
        <v>0.96318181818181914</v>
      </c>
      <c r="R6" s="616"/>
      <c r="S6" s="32">
        <v>0.75763888888888886</v>
      </c>
      <c r="T6" s="32">
        <v>0.80347222222222214</v>
      </c>
      <c r="U6" s="438">
        <f t="shared" ref="U6:U7" si="10">IF(S6=TIME(17,0,0),"",(S6-T5)*24*60)</f>
        <v>7.9999999999999716</v>
      </c>
      <c r="V6" s="446">
        <f t="shared" si="7"/>
        <v>65.999999999999929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-73.636363636361693</v>
      </c>
      <c r="AF6" s="443">
        <f t="shared" si="9"/>
        <v>0.96318181818181914</v>
      </c>
      <c r="AG6" s="616"/>
    </row>
    <row r="7" spans="1:33">
      <c r="A7" s="644" t="s">
        <v>2315</v>
      </c>
      <c r="B7" s="27" t="s">
        <v>5</v>
      </c>
      <c r="C7" s="638" t="s">
        <v>7</v>
      </c>
      <c r="D7" s="639"/>
      <c r="E7" s="27">
        <v>50.67</v>
      </c>
      <c r="F7" s="447">
        <v>1423</v>
      </c>
      <c r="G7" s="438">
        <f t="shared" si="0"/>
        <v>72103.41</v>
      </c>
      <c r="H7" s="31" t="s">
        <v>40</v>
      </c>
      <c r="I7" s="445">
        <v>15</v>
      </c>
      <c r="J7" s="29">
        <v>2000</v>
      </c>
      <c r="K7" s="12">
        <f t="shared" si="1"/>
        <v>133.33333333333334</v>
      </c>
      <c r="L7" s="445">
        <v>15</v>
      </c>
      <c r="M7" s="13">
        <f t="shared" si="2"/>
        <v>1940.4545454545455</v>
      </c>
      <c r="N7" s="12">
        <f t="shared" si="3"/>
        <v>129.36363636363637</v>
      </c>
      <c r="O7" s="14">
        <f t="shared" si="4"/>
        <v>0</v>
      </c>
      <c r="P7" s="15">
        <f t="shared" si="5"/>
        <v>-3.9696969696969688</v>
      </c>
      <c r="Q7" s="443">
        <f t="shared" si="6"/>
        <v>0.97022727272727272</v>
      </c>
      <c r="R7" s="616"/>
      <c r="S7" s="32">
        <v>0.8076388888888888</v>
      </c>
      <c r="T7" s="32">
        <v>0.83819444444444435</v>
      </c>
      <c r="U7" s="438">
        <f t="shared" si="10"/>
        <v>5.9999999999999787</v>
      </c>
      <c r="V7" s="446">
        <f t="shared" si="7"/>
        <v>44</v>
      </c>
      <c r="W7" s="16"/>
      <c r="X7" s="16"/>
      <c r="Y7" s="19"/>
      <c r="Z7" s="19"/>
      <c r="AA7" s="607"/>
      <c r="AB7" s="608"/>
      <c r="AC7" s="267"/>
      <c r="AD7" s="267"/>
      <c r="AE7" s="14">
        <f t="shared" si="8"/>
        <v>-59.545454545454504</v>
      </c>
      <c r="AF7" s="443">
        <f t="shared" si="9"/>
        <v>0.97022727272727272</v>
      </c>
      <c r="AG7" s="616"/>
    </row>
    <row r="8" spans="1:33">
      <c r="A8" s="644" t="s">
        <v>2315</v>
      </c>
      <c r="B8" s="27" t="s">
        <v>2316</v>
      </c>
      <c r="C8" s="658"/>
      <c r="D8" s="658"/>
      <c r="E8" s="444"/>
      <c r="F8" s="28"/>
      <c r="G8" s="12"/>
      <c r="H8" s="447"/>
      <c r="I8" s="21">
        <v>15.333333333333334</v>
      </c>
      <c r="J8" s="29">
        <v>2000</v>
      </c>
      <c r="K8" s="12">
        <f t="shared" si="1"/>
        <v>130.43478260869566</v>
      </c>
      <c r="L8" s="21">
        <v>15.333333333333334</v>
      </c>
      <c r="M8" s="13">
        <f>AVERAGE(M5:M7)</f>
        <v>1927.0346320346332</v>
      </c>
      <c r="N8" s="12">
        <f t="shared" si="3"/>
        <v>125.67617165443259</v>
      </c>
      <c r="O8" s="14">
        <f t="shared" si="4"/>
        <v>0</v>
      </c>
      <c r="P8" s="15">
        <f t="shared" si="5"/>
        <v>-4.7586109542630624</v>
      </c>
      <c r="Q8" s="443">
        <f t="shared" si="6"/>
        <v>0.96351731601731649</v>
      </c>
      <c r="R8" s="616"/>
      <c r="S8" s="32"/>
      <c r="T8" s="32"/>
      <c r="U8" s="438"/>
      <c r="V8" s="446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-72.965367965366795</v>
      </c>
      <c r="AF8" s="443">
        <f t="shared" si="9"/>
        <v>0.96351731601731661</v>
      </c>
      <c r="AG8" s="616"/>
    </row>
    <row r="9" spans="1:33" ht="15.75" customHeight="1">
      <c r="A9" s="640" t="s">
        <v>2317</v>
      </c>
      <c r="B9" s="27" t="s">
        <v>8</v>
      </c>
      <c r="C9" s="638" t="s">
        <v>10</v>
      </c>
      <c r="D9" s="639"/>
      <c r="E9" s="27">
        <v>39.799999999999997</v>
      </c>
      <c r="F9" s="447">
        <v>5759</v>
      </c>
      <c r="G9" s="438">
        <f t="shared" ref="G9:G13" si="11">E9*F9</f>
        <v>229208.19999999998</v>
      </c>
      <c r="H9" s="31" t="s">
        <v>40</v>
      </c>
      <c r="I9" s="445">
        <v>17</v>
      </c>
      <c r="J9" s="29">
        <v>1500</v>
      </c>
      <c r="K9" s="12">
        <f t="shared" si="1"/>
        <v>88.235294117647058</v>
      </c>
      <c r="L9" s="445">
        <v>17</v>
      </c>
      <c r="M9" s="13">
        <f t="shared" ref="M9:M13" si="12">F9/V9*60</f>
        <v>1433.7759336099582</v>
      </c>
      <c r="N9" s="12">
        <f t="shared" si="3"/>
        <v>84.339760800585779</v>
      </c>
      <c r="O9" s="14">
        <f t="shared" si="4"/>
        <v>0</v>
      </c>
      <c r="P9" s="15">
        <f t="shared" si="5"/>
        <v>-3.8955333170612789</v>
      </c>
      <c r="Q9" s="443">
        <f t="shared" si="6"/>
        <v>0.95585062240663887</v>
      </c>
      <c r="R9" s="616">
        <f>Q14</f>
        <v>0.95741587170696851</v>
      </c>
      <c r="S9" s="32">
        <v>8.3333333333333329E-2</v>
      </c>
      <c r="T9" s="32">
        <v>0.25069444444444444</v>
      </c>
      <c r="U9" s="438"/>
      <c r="V9" s="446">
        <f t="shared" ref="V9:V13" si="13">(T9-S9)*24*60</f>
        <v>241.00000000000006</v>
      </c>
      <c r="W9" s="16">
        <f>T9</f>
        <v>0.25069444444444444</v>
      </c>
      <c r="X9" s="16">
        <f>S10</f>
        <v>0.26944444444444443</v>
      </c>
      <c r="Y9" s="16"/>
      <c r="Z9" s="16"/>
      <c r="AA9" s="612"/>
      <c r="AB9" s="612"/>
      <c r="AC9" s="18">
        <v>5</v>
      </c>
      <c r="AD9" s="18"/>
      <c r="AE9" s="14">
        <f t="shared" si="8"/>
        <v>-66.224066390041799</v>
      </c>
      <c r="AF9" s="443">
        <f t="shared" si="9"/>
        <v>0.95585062240663876</v>
      </c>
      <c r="AG9" s="616">
        <f>AF14</f>
        <v>0.9574158717069684</v>
      </c>
    </row>
    <row r="10" spans="1:33" ht="15.75" customHeight="1">
      <c r="A10" s="640" t="s">
        <v>2318</v>
      </c>
      <c r="B10" s="27" t="s">
        <v>8</v>
      </c>
      <c r="C10" s="638" t="s">
        <v>63</v>
      </c>
      <c r="D10" s="639"/>
      <c r="E10" s="27">
        <v>39.46</v>
      </c>
      <c r="F10" s="447">
        <v>2735</v>
      </c>
      <c r="G10" s="438">
        <f t="shared" si="11"/>
        <v>107923.1</v>
      </c>
      <c r="H10" s="31" t="s">
        <v>40</v>
      </c>
      <c r="I10" s="445">
        <v>15</v>
      </c>
      <c r="J10" s="29">
        <v>1500</v>
      </c>
      <c r="K10" s="12">
        <f t="shared" si="1"/>
        <v>100</v>
      </c>
      <c r="L10" s="445">
        <v>15</v>
      </c>
      <c r="M10" s="13">
        <f t="shared" si="12"/>
        <v>1439.4736842105262</v>
      </c>
      <c r="N10" s="12">
        <f t="shared" si="3"/>
        <v>95.964912280701753</v>
      </c>
      <c r="O10" s="14">
        <f t="shared" si="4"/>
        <v>0</v>
      </c>
      <c r="P10" s="15">
        <f t="shared" si="5"/>
        <v>-4.0350877192982466</v>
      </c>
      <c r="Q10" s="443">
        <f t="shared" si="6"/>
        <v>0.95964912280701753</v>
      </c>
      <c r="R10" s="616"/>
      <c r="S10" s="32">
        <v>0.26944444444444443</v>
      </c>
      <c r="T10" s="32">
        <v>0.34861111111111109</v>
      </c>
      <c r="U10" s="438">
        <f t="shared" ref="U10:U13" si="14">IF(S10=TIME(17,0,0),"",(S10-T9)*24*60)</f>
        <v>26.999999999999986</v>
      </c>
      <c r="V10" s="446">
        <f t="shared" si="13"/>
        <v>114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-60.526315789473756</v>
      </c>
      <c r="AF10" s="443">
        <f t="shared" si="9"/>
        <v>0.95964912280701753</v>
      </c>
      <c r="AG10" s="616"/>
    </row>
    <row r="11" spans="1:33" ht="15.75" customHeight="1">
      <c r="A11" s="640" t="s">
        <v>2318</v>
      </c>
      <c r="B11" s="27" t="s">
        <v>8</v>
      </c>
      <c r="C11" s="638" t="s">
        <v>74</v>
      </c>
      <c r="D11" s="639"/>
      <c r="E11" s="27">
        <v>39.520000000000003</v>
      </c>
      <c r="F11" s="447">
        <v>2133</v>
      </c>
      <c r="G11" s="438">
        <f t="shared" si="11"/>
        <v>84296.16</v>
      </c>
      <c r="H11" s="31" t="s">
        <v>40</v>
      </c>
      <c r="I11" s="445">
        <v>19</v>
      </c>
      <c r="J11" s="29">
        <v>1500</v>
      </c>
      <c r="K11" s="12">
        <f t="shared" si="1"/>
        <v>78.94736842105263</v>
      </c>
      <c r="L11" s="445">
        <v>19</v>
      </c>
      <c r="M11" s="13">
        <f t="shared" si="12"/>
        <v>1437.9775280898875</v>
      </c>
      <c r="N11" s="12">
        <f t="shared" si="3"/>
        <v>75.683027794204605</v>
      </c>
      <c r="O11" s="14">
        <f t="shared" si="4"/>
        <v>0</v>
      </c>
      <c r="P11" s="15">
        <f t="shared" si="5"/>
        <v>-3.2643406268480248</v>
      </c>
      <c r="Q11" s="443">
        <f t="shared" si="6"/>
        <v>0.9586516853932584</v>
      </c>
      <c r="R11" s="616"/>
      <c r="S11" s="32">
        <v>0.35347222222222219</v>
      </c>
      <c r="T11" s="32">
        <v>0.41527777777777775</v>
      </c>
      <c r="U11" s="438">
        <f t="shared" si="14"/>
        <v>6.9999999999999751</v>
      </c>
      <c r="V11" s="446">
        <f t="shared" si="13"/>
        <v>89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-62.022471910112472</v>
      </c>
      <c r="AF11" s="443">
        <f t="shared" si="9"/>
        <v>0.9586516853932584</v>
      </c>
      <c r="AG11" s="616"/>
    </row>
    <row r="12" spans="1:33" ht="15.75" customHeight="1">
      <c r="A12" s="640" t="s">
        <v>2318</v>
      </c>
      <c r="B12" s="27" t="s">
        <v>8</v>
      </c>
      <c r="C12" s="638" t="s">
        <v>9</v>
      </c>
      <c r="D12" s="639"/>
      <c r="E12" s="27">
        <v>39.619999999999997</v>
      </c>
      <c r="F12" s="447">
        <v>2300</v>
      </c>
      <c r="G12" s="438">
        <f t="shared" si="11"/>
        <v>91126</v>
      </c>
      <c r="H12" s="31">
        <v>2</v>
      </c>
      <c r="I12" s="445">
        <v>19</v>
      </c>
      <c r="J12" s="29">
        <v>1500</v>
      </c>
      <c r="K12" s="12">
        <f t="shared" si="1"/>
        <v>78.94736842105263</v>
      </c>
      <c r="L12" s="445">
        <v>19</v>
      </c>
      <c r="M12" s="13">
        <f t="shared" si="12"/>
        <v>1437.5000000000005</v>
      </c>
      <c r="N12" s="12">
        <f t="shared" si="3"/>
        <v>75.657894736842124</v>
      </c>
      <c r="O12" s="14">
        <f t="shared" si="4"/>
        <v>0</v>
      </c>
      <c r="P12" s="15">
        <f t="shared" si="5"/>
        <v>-3.2894736842105061</v>
      </c>
      <c r="Q12" s="443">
        <f t="shared" si="6"/>
        <v>0.95833333333333359</v>
      </c>
      <c r="R12" s="616"/>
      <c r="S12" s="32">
        <v>0.42083333333333328</v>
      </c>
      <c r="T12" s="32">
        <v>0.48749999999999993</v>
      </c>
      <c r="U12" s="438">
        <f t="shared" si="14"/>
        <v>7.9999999999999716</v>
      </c>
      <c r="V12" s="446">
        <f t="shared" si="13"/>
        <v>95.999999999999972</v>
      </c>
      <c r="W12" s="16">
        <f>T12</f>
        <v>0.48749999999999993</v>
      </c>
      <c r="X12" s="16">
        <f>S13</f>
        <v>0.52777777777777768</v>
      </c>
      <c r="Y12" s="16"/>
      <c r="Z12" s="16"/>
      <c r="AA12" s="607"/>
      <c r="AB12" s="608"/>
      <c r="AC12" s="18"/>
      <c r="AD12" s="18"/>
      <c r="AE12" s="14">
        <f t="shared" si="8"/>
        <v>-62.499999999999545</v>
      </c>
      <c r="AF12" s="443">
        <f t="shared" si="9"/>
        <v>0.95833333333333359</v>
      </c>
      <c r="AG12" s="616"/>
    </row>
    <row r="13" spans="1:33" ht="15.75" customHeight="1">
      <c r="A13" s="640" t="s">
        <v>2318</v>
      </c>
      <c r="B13" s="27" t="s">
        <v>8</v>
      </c>
      <c r="C13" s="638" t="s">
        <v>9</v>
      </c>
      <c r="D13" s="639"/>
      <c r="E13" s="27">
        <v>39.619999999999997</v>
      </c>
      <c r="F13" s="447">
        <v>1766</v>
      </c>
      <c r="G13" s="438">
        <f t="shared" si="11"/>
        <v>69968.92</v>
      </c>
      <c r="H13" s="31" t="s">
        <v>40</v>
      </c>
      <c r="I13" s="445">
        <v>19</v>
      </c>
      <c r="J13" s="29">
        <v>1500</v>
      </c>
      <c r="K13" s="12">
        <f t="shared" si="1"/>
        <v>78.94736842105263</v>
      </c>
      <c r="L13" s="445">
        <v>19</v>
      </c>
      <c r="M13" s="13">
        <f t="shared" si="12"/>
        <v>1431.8918918918907</v>
      </c>
      <c r="N13" s="12">
        <f t="shared" si="3"/>
        <v>75.362731152204773</v>
      </c>
      <c r="O13" s="14">
        <f t="shared" si="4"/>
        <v>0</v>
      </c>
      <c r="P13" s="15">
        <f t="shared" si="5"/>
        <v>-3.5846372688478567</v>
      </c>
      <c r="Q13" s="443">
        <f t="shared" si="6"/>
        <v>0.95459459459459384</v>
      </c>
      <c r="R13" s="616"/>
      <c r="S13" s="32">
        <v>0.52777777777777768</v>
      </c>
      <c r="T13" s="32">
        <v>0.57916666666666661</v>
      </c>
      <c r="U13" s="438">
        <f t="shared" si="14"/>
        <v>57.999999999999957</v>
      </c>
      <c r="V13" s="446">
        <f t="shared" si="13"/>
        <v>74.000000000000057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-68.108108108109263</v>
      </c>
      <c r="AF13" s="443">
        <f t="shared" si="9"/>
        <v>0.95459459459459384</v>
      </c>
      <c r="AG13" s="616"/>
    </row>
    <row r="14" spans="1:33" ht="16.5" customHeight="1">
      <c r="A14" s="640" t="s">
        <v>2318</v>
      </c>
      <c r="B14" s="27" t="s">
        <v>2319</v>
      </c>
      <c r="C14" s="658"/>
      <c r="D14" s="658"/>
      <c r="E14" s="444"/>
      <c r="F14" s="29"/>
      <c r="G14" s="13"/>
      <c r="H14" s="447"/>
      <c r="I14" s="21">
        <v>17.8</v>
      </c>
      <c r="J14" s="29">
        <v>1500</v>
      </c>
      <c r="K14" s="12">
        <f t="shared" si="1"/>
        <v>84.269662921348313</v>
      </c>
      <c r="L14" s="21">
        <v>17.8</v>
      </c>
      <c r="M14" s="13">
        <f>AVERAGE(M9:M13)</f>
        <v>1436.1238075604526</v>
      </c>
      <c r="N14" s="12">
        <f t="shared" si="3"/>
        <v>80.681112784295095</v>
      </c>
      <c r="O14" s="14">
        <f t="shared" si="4"/>
        <v>0</v>
      </c>
      <c r="P14" s="15">
        <f t="shared" si="5"/>
        <v>-3.5885501370532182</v>
      </c>
      <c r="Q14" s="443">
        <f t="shared" si="6"/>
        <v>0.95741587170696851</v>
      </c>
      <c r="R14" s="616"/>
      <c r="S14" s="32"/>
      <c r="T14" s="32"/>
      <c r="U14" s="12"/>
      <c r="V14" s="446"/>
      <c r="W14" s="12"/>
      <c r="X14" s="12"/>
      <c r="Y14" s="22">
        <f>SUM(Y9:Y13)</f>
        <v>0</v>
      </c>
      <c r="Z14" s="22">
        <f>SUM(Z9:Z13)</f>
        <v>0</v>
      </c>
      <c r="AA14" s="611"/>
      <c r="AB14" s="611"/>
      <c r="AC14" s="22">
        <v>5</v>
      </c>
      <c r="AD14" s="22">
        <f>SUM(AD9:AD13)</f>
        <v>0</v>
      </c>
      <c r="AE14" s="14">
        <f t="shared" si="8"/>
        <v>-63.876192439547367</v>
      </c>
      <c r="AF14" s="443">
        <f t="shared" si="9"/>
        <v>0.9574158717069684</v>
      </c>
      <c r="AG14" s="616"/>
    </row>
    <row r="15" spans="1:33" ht="16.5" customHeight="1">
      <c r="A15" s="636" t="s">
        <v>2320</v>
      </c>
      <c r="B15" s="447" t="s">
        <v>1134</v>
      </c>
      <c r="C15" s="659" t="s">
        <v>1035</v>
      </c>
      <c r="D15" s="659"/>
      <c r="E15" s="27">
        <v>31.11</v>
      </c>
      <c r="F15" s="447">
        <v>3054</v>
      </c>
      <c r="G15" s="438">
        <f t="shared" ref="G15:G21" si="15">E15*F15</f>
        <v>95009.94</v>
      </c>
      <c r="H15" s="31" t="s">
        <v>40</v>
      </c>
      <c r="I15" s="445">
        <v>14</v>
      </c>
      <c r="J15" s="29">
        <v>2000</v>
      </c>
      <c r="K15" s="12">
        <f t="shared" si="1"/>
        <v>142.85714285714286</v>
      </c>
      <c r="L15" s="445">
        <v>14</v>
      </c>
      <c r="M15" s="13">
        <f t="shared" ref="M15:M21" si="16">F15/V15*60</f>
        <v>1908.75</v>
      </c>
      <c r="N15" s="12">
        <f t="shared" si="3"/>
        <v>136.33928571428572</v>
      </c>
      <c r="O15" s="14">
        <f t="shared" si="4"/>
        <v>0</v>
      </c>
      <c r="P15" s="15">
        <f t="shared" si="5"/>
        <v>-6.5178571428571388</v>
      </c>
      <c r="Q15" s="443">
        <f t="shared" si="6"/>
        <v>0.95437500000000008</v>
      </c>
      <c r="R15" s="616">
        <f>Q22</f>
        <v>0.95858119588744595</v>
      </c>
      <c r="S15" s="32">
        <v>8.3333333333333329E-2</v>
      </c>
      <c r="T15" s="32">
        <v>0.15</v>
      </c>
      <c r="U15" s="438"/>
      <c r="V15" s="446">
        <f t="shared" ref="V15:V21" si="17">(T15-S15)*24*60</f>
        <v>96</v>
      </c>
      <c r="W15" s="16">
        <f>T15</f>
        <v>0.15</v>
      </c>
      <c r="X15" s="16">
        <f>S16</f>
        <v>0.16805555555555554</v>
      </c>
      <c r="Y15" s="20"/>
      <c r="Z15" s="20"/>
      <c r="AA15" s="612"/>
      <c r="AB15" s="612"/>
      <c r="AC15" s="18">
        <v>7</v>
      </c>
      <c r="AD15" s="18"/>
      <c r="AE15" s="14">
        <f t="shared" si="8"/>
        <v>-91.25</v>
      </c>
      <c r="AF15" s="443">
        <f t="shared" si="9"/>
        <v>0.95437499999999997</v>
      </c>
      <c r="AG15" s="616">
        <f>AF22</f>
        <v>0.95858119588744595</v>
      </c>
    </row>
    <row r="16" spans="1:33" ht="16.5" customHeight="1">
      <c r="A16" s="637" t="s">
        <v>2321</v>
      </c>
      <c r="B16" s="447" t="s">
        <v>11</v>
      </c>
      <c r="C16" s="659" t="s">
        <v>67</v>
      </c>
      <c r="D16" s="659"/>
      <c r="E16" s="27">
        <v>38.619999999999997</v>
      </c>
      <c r="F16" s="447">
        <v>1789</v>
      </c>
      <c r="G16" s="438">
        <f t="shared" si="15"/>
        <v>69091.179999999993</v>
      </c>
      <c r="H16" s="31" t="s">
        <v>40</v>
      </c>
      <c r="I16" s="445">
        <v>24</v>
      </c>
      <c r="J16" s="29">
        <v>1500</v>
      </c>
      <c r="K16" s="12">
        <f t="shared" si="1"/>
        <v>62.5</v>
      </c>
      <c r="L16" s="445">
        <v>24</v>
      </c>
      <c r="M16" s="13">
        <f t="shared" si="16"/>
        <v>1431.1999999999996</v>
      </c>
      <c r="N16" s="12">
        <f t="shared" si="3"/>
        <v>59.633333333333319</v>
      </c>
      <c r="O16" s="14">
        <f t="shared" si="4"/>
        <v>0</v>
      </c>
      <c r="P16" s="15">
        <f t="shared" si="5"/>
        <v>-2.8666666666666814</v>
      </c>
      <c r="Q16" s="443">
        <f t="shared" si="6"/>
        <v>0.95413333333333306</v>
      </c>
      <c r="R16" s="616"/>
      <c r="S16" s="32">
        <v>0.16805555555555554</v>
      </c>
      <c r="T16" s="32">
        <v>0.22013888888888888</v>
      </c>
      <c r="U16" s="438">
        <f t="shared" ref="U16:U21" si="18">IF(S16=TIME(17,0,0),"",(S16-T15)*24*60)</f>
        <v>25.999999999999986</v>
      </c>
      <c r="V16" s="446">
        <f t="shared" si="17"/>
        <v>75.000000000000014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-68.800000000000409</v>
      </c>
      <c r="AF16" s="443">
        <f t="shared" si="9"/>
        <v>0.95413333333333306</v>
      </c>
      <c r="AG16" s="616"/>
    </row>
    <row r="17" spans="1:33" ht="16.5" customHeight="1">
      <c r="A17" s="637" t="s">
        <v>2320</v>
      </c>
      <c r="B17" s="447" t="s">
        <v>11</v>
      </c>
      <c r="C17" s="659" t="s">
        <v>12</v>
      </c>
      <c r="D17" s="659"/>
      <c r="E17" s="27">
        <v>41</v>
      </c>
      <c r="F17" s="447">
        <v>1506</v>
      </c>
      <c r="G17" s="438">
        <f t="shared" si="15"/>
        <v>61746</v>
      </c>
      <c r="H17" s="31" t="s">
        <v>40</v>
      </c>
      <c r="I17" s="445">
        <v>26</v>
      </c>
      <c r="J17" s="29">
        <v>1500</v>
      </c>
      <c r="K17" s="12">
        <f t="shared" si="1"/>
        <v>57.692307692307693</v>
      </c>
      <c r="L17" s="445">
        <v>26</v>
      </c>
      <c r="M17" s="13">
        <f t="shared" si="16"/>
        <v>1434.2857142857147</v>
      </c>
      <c r="N17" s="12">
        <f t="shared" si="3"/>
        <v>55.164835164835182</v>
      </c>
      <c r="O17" s="14">
        <f t="shared" si="4"/>
        <v>0</v>
      </c>
      <c r="P17" s="15">
        <f t="shared" si="5"/>
        <v>-2.5274725274725114</v>
      </c>
      <c r="Q17" s="443">
        <f t="shared" si="6"/>
        <v>0.95619047619047648</v>
      </c>
      <c r="R17" s="616"/>
      <c r="S17" s="32">
        <v>0.22569444444444445</v>
      </c>
      <c r="T17" s="32">
        <v>0.26944444444444443</v>
      </c>
      <c r="U17" s="438">
        <f t="shared" si="18"/>
        <v>8.0000000000000107</v>
      </c>
      <c r="V17" s="446">
        <f t="shared" si="17"/>
        <v>62.999999999999979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-65.714285714285325</v>
      </c>
      <c r="AF17" s="443">
        <f t="shared" si="9"/>
        <v>0.95619047619047648</v>
      </c>
      <c r="AG17" s="616"/>
    </row>
    <row r="18" spans="1:33" ht="16.5" customHeight="1">
      <c r="A18" s="637" t="s">
        <v>2320</v>
      </c>
      <c r="B18" s="447" t="s">
        <v>5</v>
      </c>
      <c r="C18" s="659" t="s">
        <v>66</v>
      </c>
      <c r="D18" s="659"/>
      <c r="E18" s="27">
        <v>37.03</v>
      </c>
      <c r="F18" s="447">
        <v>2638</v>
      </c>
      <c r="G18" s="438">
        <f t="shared" si="15"/>
        <v>97685.14</v>
      </c>
      <c r="H18" s="31" t="s">
        <v>40</v>
      </c>
      <c r="I18" s="445">
        <v>13</v>
      </c>
      <c r="J18" s="29">
        <v>1500</v>
      </c>
      <c r="K18" s="12">
        <f t="shared" si="1"/>
        <v>115.38461538461539</v>
      </c>
      <c r="L18" s="445">
        <v>13</v>
      </c>
      <c r="M18" s="13">
        <f t="shared" si="16"/>
        <v>1438.9090909090905</v>
      </c>
      <c r="N18" s="12">
        <f t="shared" si="3"/>
        <v>110.68531468531465</v>
      </c>
      <c r="O18" s="14">
        <f t="shared" si="4"/>
        <v>0</v>
      </c>
      <c r="P18" s="15">
        <f t="shared" si="5"/>
        <v>-4.6993006993007356</v>
      </c>
      <c r="Q18" s="443">
        <f t="shared" si="6"/>
        <v>0.95927272727272694</v>
      </c>
      <c r="R18" s="616"/>
      <c r="S18" s="32">
        <v>0.27291666666666664</v>
      </c>
      <c r="T18" s="32">
        <v>0.34930555555555554</v>
      </c>
      <c r="U18" s="438">
        <f t="shared" si="18"/>
        <v>4.9999999999999822</v>
      </c>
      <c r="V18" s="446">
        <f t="shared" si="17"/>
        <v>110.00000000000001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-61.090909090909463</v>
      </c>
      <c r="AF18" s="443">
        <f t="shared" si="9"/>
        <v>0.95927272727272705</v>
      </c>
      <c r="AG18" s="616"/>
    </row>
    <row r="19" spans="1:33" ht="16.5" customHeight="1">
      <c r="A19" s="637" t="s">
        <v>2320</v>
      </c>
      <c r="B19" s="447" t="s">
        <v>5</v>
      </c>
      <c r="C19" s="659" t="s">
        <v>6</v>
      </c>
      <c r="D19" s="659"/>
      <c r="E19" s="27">
        <v>50.67</v>
      </c>
      <c r="F19" s="447">
        <v>1542</v>
      </c>
      <c r="G19" s="438">
        <f t="shared" si="15"/>
        <v>78133.14</v>
      </c>
      <c r="H19" s="31" t="s">
        <v>40</v>
      </c>
      <c r="I19" s="445">
        <v>17</v>
      </c>
      <c r="J19" s="29">
        <v>2000</v>
      </c>
      <c r="K19" s="12">
        <f t="shared" si="1"/>
        <v>117.64705882352941</v>
      </c>
      <c r="L19" s="445">
        <v>17</v>
      </c>
      <c r="M19" s="13">
        <f t="shared" si="16"/>
        <v>1927.5000000000005</v>
      </c>
      <c r="N19" s="12">
        <f t="shared" si="3"/>
        <v>113.38235294117649</v>
      </c>
      <c r="O19" s="14">
        <f t="shared" si="4"/>
        <v>0</v>
      </c>
      <c r="P19" s="15">
        <f t="shared" si="5"/>
        <v>-4.2647058823529136</v>
      </c>
      <c r="Q19" s="443">
        <f t="shared" si="6"/>
        <v>0.96375000000000022</v>
      </c>
      <c r="R19" s="616"/>
      <c r="S19" s="32">
        <v>0.70833333333333337</v>
      </c>
      <c r="T19" s="32">
        <v>0.7416666666666667</v>
      </c>
      <c r="U19" s="438" t="str">
        <f t="shared" si="18"/>
        <v/>
      </c>
      <c r="V19" s="446">
        <f t="shared" si="17"/>
        <v>47.999999999999986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-72.499999999999545</v>
      </c>
      <c r="AF19" s="443">
        <f t="shared" si="9"/>
        <v>0.96375000000000022</v>
      </c>
      <c r="AG19" s="616"/>
    </row>
    <row r="20" spans="1:33" ht="16.5" customHeight="1">
      <c r="A20" s="637" t="s">
        <v>2320</v>
      </c>
      <c r="B20" s="447" t="s">
        <v>5</v>
      </c>
      <c r="C20" s="449" t="s">
        <v>615</v>
      </c>
      <c r="D20" s="450"/>
      <c r="E20" s="27">
        <v>54.5</v>
      </c>
      <c r="F20" s="447">
        <v>2299</v>
      </c>
      <c r="G20" s="438">
        <f t="shared" si="15"/>
        <v>125295.5</v>
      </c>
      <c r="H20" s="31" t="s">
        <v>40</v>
      </c>
      <c r="I20" s="445">
        <v>20</v>
      </c>
      <c r="J20" s="29">
        <v>1500</v>
      </c>
      <c r="K20" s="12">
        <f t="shared" si="1"/>
        <v>75</v>
      </c>
      <c r="L20" s="445">
        <v>20</v>
      </c>
      <c r="M20" s="13">
        <f t="shared" si="16"/>
        <v>1436.8750000000005</v>
      </c>
      <c r="N20" s="12">
        <f t="shared" si="3"/>
        <v>71.843750000000028</v>
      </c>
      <c r="O20" s="14">
        <f t="shared" si="4"/>
        <v>0</v>
      </c>
      <c r="P20" s="15">
        <f t="shared" si="5"/>
        <v>-3.1562499999999716</v>
      </c>
      <c r="Q20" s="443">
        <f t="shared" si="6"/>
        <v>0.95791666666666708</v>
      </c>
      <c r="R20" s="616"/>
      <c r="S20" s="32">
        <v>0.74513888888888891</v>
      </c>
      <c r="T20" s="32">
        <v>0.81180555555555556</v>
      </c>
      <c r="U20" s="438">
        <f t="shared" si="18"/>
        <v>4.9999999999999822</v>
      </c>
      <c r="V20" s="446">
        <f t="shared" si="17"/>
        <v>95.999999999999972</v>
      </c>
      <c r="W20" s="16"/>
      <c r="X20" s="16"/>
      <c r="Y20" s="19"/>
      <c r="Z20" s="19"/>
      <c r="AA20" s="441"/>
      <c r="AB20" s="442"/>
      <c r="AC20" s="18"/>
      <c r="AD20" s="18"/>
      <c r="AE20" s="14">
        <f t="shared" si="8"/>
        <v>-63.124999999999545</v>
      </c>
      <c r="AF20" s="443">
        <f t="shared" si="9"/>
        <v>0.95791666666666697</v>
      </c>
      <c r="AG20" s="616"/>
    </row>
    <row r="21" spans="1:33" ht="16.5" customHeight="1">
      <c r="A21" s="637" t="s">
        <v>2320</v>
      </c>
      <c r="B21" s="447" t="s">
        <v>5</v>
      </c>
      <c r="C21" s="449" t="s">
        <v>18</v>
      </c>
      <c r="D21" s="450"/>
      <c r="E21" s="27">
        <v>50.49</v>
      </c>
      <c r="F21" s="447">
        <v>1765</v>
      </c>
      <c r="G21" s="438">
        <f t="shared" si="15"/>
        <v>89114.85</v>
      </c>
      <c r="H21" s="31" t="s">
        <v>40</v>
      </c>
      <c r="I21" s="445">
        <v>15</v>
      </c>
      <c r="J21" s="29">
        <v>2000</v>
      </c>
      <c r="K21" s="12">
        <f t="shared" si="1"/>
        <v>133.33333333333334</v>
      </c>
      <c r="L21" s="445">
        <v>15</v>
      </c>
      <c r="M21" s="13">
        <f t="shared" si="16"/>
        <v>1925.4545454545469</v>
      </c>
      <c r="N21" s="12">
        <f t="shared" si="3"/>
        <v>128.36363636363646</v>
      </c>
      <c r="O21" s="14">
        <f t="shared" si="4"/>
        <v>0</v>
      </c>
      <c r="P21" s="15">
        <f t="shared" si="5"/>
        <v>-4.9696969696968836</v>
      </c>
      <c r="Q21" s="443">
        <f t="shared" si="6"/>
        <v>0.96272727272727343</v>
      </c>
      <c r="R21" s="616"/>
      <c r="S21" s="32">
        <v>0.81597222222222221</v>
      </c>
      <c r="T21" s="32">
        <v>0.85416666666666663</v>
      </c>
      <c r="U21" s="438">
        <f t="shared" si="18"/>
        <v>5.9999999999999787</v>
      </c>
      <c r="V21" s="446">
        <f t="shared" si="17"/>
        <v>54.999999999999964</v>
      </c>
      <c r="W21" s="16"/>
      <c r="X21" s="16"/>
      <c r="Y21" s="19"/>
      <c r="Z21" s="19"/>
      <c r="AA21" s="441"/>
      <c r="AB21" s="442"/>
      <c r="AC21" s="18"/>
      <c r="AD21" s="18"/>
      <c r="AE21" s="14">
        <f t="shared" si="8"/>
        <v>-74.54545454545314</v>
      </c>
      <c r="AF21" s="443">
        <f t="shared" si="9"/>
        <v>0.96272727272727343</v>
      </c>
      <c r="AG21" s="616"/>
    </row>
    <row r="22" spans="1:33" ht="16.5" customHeight="1">
      <c r="A22" s="637" t="s">
        <v>2320</v>
      </c>
      <c r="B22" s="27" t="s">
        <v>2316</v>
      </c>
      <c r="C22" s="658"/>
      <c r="D22" s="658"/>
      <c r="E22" s="444"/>
      <c r="F22" s="28"/>
      <c r="G22" s="12"/>
      <c r="H22" s="447"/>
      <c r="I22" s="21">
        <v>18.428571428571427</v>
      </c>
      <c r="J22" s="29">
        <v>1714.2857142857142</v>
      </c>
      <c r="K22" s="12">
        <f t="shared" si="1"/>
        <v>93.023255813953497</v>
      </c>
      <c r="L22" s="21">
        <v>18.428571428571427</v>
      </c>
      <c r="M22" s="13">
        <f>AVERAGE(M15:M21)</f>
        <v>1643.2820500927644</v>
      </c>
      <c r="N22" s="12">
        <f t="shared" si="3"/>
        <v>89.170343803483348</v>
      </c>
      <c r="O22" s="14">
        <f t="shared" si="4"/>
        <v>0</v>
      </c>
      <c r="P22" s="15">
        <f t="shared" si="5"/>
        <v>-3.8529120104701491</v>
      </c>
      <c r="Q22" s="443">
        <f t="shared" si="6"/>
        <v>0.95858119588744595</v>
      </c>
      <c r="R22" s="616"/>
      <c r="S22" s="32"/>
      <c r="T22" s="32"/>
      <c r="U22" s="438"/>
      <c r="V22" s="446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-71.003664192949827</v>
      </c>
      <c r="AF22" s="443">
        <f t="shared" si="9"/>
        <v>0.95858119588744595</v>
      </c>
      <c r="AG22" s="616"/>
    </row>
    <row r="23" spans="1:33" ht="15.75" customHeight="1">
      <c r="A23" s="634" t="s">
        <v>2322</v>
      </c>
      <c r="B23" s="27" t="s">
        <v>5</v>
      </c>
      <c r="C23" s="659" t="s">
        <v>16</v>
      </c>
      <c r="D23" s="659"/>
      <c r="E23" s="27">
        <v>50.67</v>
      </c>
      <c r="F23" s="447">
        <v>1401</v>
      </c>
      <c r="G23" s="438">
        <f t="shared" ref="G23:G29" si="19">E23*F23</f>
        <v>70988.67</v>
      </c>
      <c r="H23" s="31" t="s">
        <v>40</v>
      </c>
      <c r="I23" s="445">
        <v>17</v>
      </c>
      <c r="J23" s="29">
        <v>2000</v>
      </c>
      <c r="K23" s="12">
        <f t="shared" si="1"/>
        <v>117.64705882352941</v>
      </c>
      <c r="L23" s="445">
        <v>17</v>
      </c>
      <c r="M23" s="13">
        <f t="shared" ref="M23:M29" si="20">F23/V23*60</f>
        <v>1910.4545454545455</v>
      </c>
      <c r="N23" s="12">
        <f t="shared" si="3"/>
        <v>112.37967914438502</v>
      </c>
      <c r="O23" s="14">
        <f t="shared" si="4"/>
        <v>0</v>
      </c>
      <c r="P23" s="15">
        <f t="shared" si="5"/>
        <v>-5.2673796791443834</v>
      </c>
      <c r="Q23" s="443">
        <f t="shared" si="6"/>
        <v>0.9552272727272727</v>
      </c>
      <c r="R23" s="616">
        <f>Q30</f>
        <v>0.9595733072554532</v>
      </c>
      <c r="S23" s="32">
        <v>0.20833333333333334</v>
      </c>
      <c r="T23" s="32">
        <v>0.2388888888888889</v>
      </c>
      <c r="U23" s="438"/>
      <c r="V23" s="446">
        <f t="shared" ref="V23:V29" si="21">(T23-S23)*24*60</f>
        <v>44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-89.545454545454504</v>
      </c>
      <c r="AF23" s="443">
        <f t="shared" si="9"/>
        <v>0.9552272727272727</v>
      </c>
      <c r="AG23" s="616">
        <f>AF30</f>
        <v>0.9595733072554532</v>
      </c>
    </row>
    <row r="24" spans="1:33" ht="15.75" customHeight="1">
      <c r="A24" s="635" t="s">
        <v>2323</v>
      </c>
      <c r="B24" s="27" t="s">
        <v>5</v>
      </c>
      <c r="C24" s="659" t="s">
        <v>17</v>
      </c>
      <c r="D24" s="659"/>
      <c r="E24" s="27">
        <v>57.73</v>
      </c>
      <c r="F24" s="447">
        <v>2034</v>
      </c>
      <c r="G24" s="438">
        <f t="shared" si="19"/>
        <v>117422.81999999999</v>
      </c>
      <c r="H24" s="31" t="s">
        <v>40</v>
      </c>
      <c r="I24" s="445">
        <v>14</v>
      </c>
      <c r="J24" s="29">
        <v>2000</v>
      </c>
      <c r="K24" s="12">
        <f t="shared" si="1"/>
        <v>142.85714285714286</v>
      </c>
      <c r="L24" s="445">
        <v>14</v>
      </c>
      <c r="M24" s="13">
        <f t="shared" si="20"/>
        <v>1906.8750000000009</v>
      </c>
      <c r="N24" s="12">
        <f t="shared" si="3"/>
        <v>136.2053571428572</v>
      </c>
      <c r="O24" s="14">
        <f t="shared" si="4"/>
        <v>0</v>
      </c>
      <c r="P24" s="15">
        <f t="shared" si="5"/>
        <v>-6.6517857142856656</v>
      </c>
      <c r="Q24" s="443">
        <f t="shared" si="6"/>
        <v>0.95343750000000038</v>
      </c>
      <c r="R24" s="616"/>
      <c r="S24" s="32">
        <v>0.24236111111111111</v>
      </c>
      <c r="T24" s="32">
        <v>0.28680555555555554</v>
      </c>
      <c r="U24" s="438">
        <f t="shared" ref="U24:U29" si="22">IF(S24=TIME(17,0,0),"",(S24-T23)*24*60)</f>
        <v>4.9999999999999822</v>
      </c>
      <c r="V24" s="446">
        <f t="shared" si="21"/>
        <v>63.999999999999972</v>
      </c>
      <c r="W24" s="16"/>
      <c r="X24" s="438"/>
      <c r="Y24" s="438"/>
      <c r="Z24" s="438"/>
      <c r="AA24" s="612"/>
      <c r="AB24" s="612"/>
      <c r="AC24" s="18"/>
      <c r="AD24" s="18"/>
      <c r="AE24" s="14">
        <f t="shared" si="8"/>
        <v>-93.124999999999091</v>
      </c>
      <c r="AF24" s="443">
        <f t="shared" si="9"/>
        <v>0.95343750000000049</v>
      </c>
      <c r="AG24" s="616"/>
    </row>
    <row r="25" spans="1:33" ht="15.75" customHeight="1">
      <c r="A25" s="635" t="s">
        <v>2323</v>
      </c>
      <c r="B25" s="27" t="s">
        <v>5</v>
      </c>
      <c r="C25" s="659" t="s">
        <v>60</v>
      </c>
      <c r="D25" s="659"/>
      <c r="E25" s="27">
        <v>53.27</v>
      </c>
      <c r="F25" s="447">
        <v>1143</v>
      </c>
      <c r="G25" s="438">
        <f t="shared" si="19"/>
        <v>60887.61</v>
      </c>
      <c r="H25" s="31" t="s">
        <v>40</v>
      </c>
      <c r="I25" s="445">
        <v>16</v>
      </c>
      <c r="J25" s="29">
        <v>2000</v>
      </c>
      <c r="K25" s="12">
        <f t="shared" si="1"/>
        <v>125</v>
      </c>
      <c r="L25" s="445">
        <v>16</v>
      </c>
      <c r="M25" s="13">
        <f t="shared" si="20"/>
        <v>1904.9999999999984</v>
      </c>
      <c r="N25" s="12">
        <f t="shared" si="3"/>
        <v>119.0624999999999</v>
      </c>
      <c r="O25" s="14">
        <f t="shared" si="4"/>
        <v>0</v>
      </c>
      <c r="P25" s="15">
        <f t="shared" si="5"/>
        <v>-5.9375000000000995</v>
      </c>
      <c r="Q25" s="443">
        <f t="shared" si="6"/>
        <v>0.95249999999999924</v>
      </c>
      <c r="R25" s="616"/>
      <c r="S25" s="32">
        <v>0.29236111111111107</v>
      </c>
      <c r="T25" s="32">
        <v>0.31736111111111109</v>
      </c>
      <c r="U25" s="438">
        <f t="shared" si="22"/>
        <v>7.9999999999999716</v>
      </c>
      <c r="V25" s="446">
        <f t="shared" si="21"/>
        <v>36.000000000000028</v>
      </c>
      <c r="W25" s="16"/>
      <c r="X25" s="438"/>
      <c r="Y25" s="438"/>
      <c r="Z25" s="438"/>
      <c r="AA25" s="612"/>
      <c r="AB25" s="612"/>
      <c r="AC25" s="18"/>
      <c r="AD25" s="18"/>
      <c r="AE25" s="14">
        <f t="shared" si="8"/>
        <v>-95.000000000001592</v>
      </c>
      <c r="AF25" s="443">
        <f t="shared" si="9"/>
        <v>0.95249999999999924</v>
      </c>
      <c r="AG25" s="616"/>
    </row>
    <row r="26" spans="1:33" ht="15.75" customHeight="1">
      <c r="A26" s="635" t="s">
        <v>2324</v>
      </c>
      <c r="B26" s="27" t="s">
        <v>5</v>
      </c>
      <c r="C26" s="659" t="s">
        <v>65</v>
      </c>
      <c r="D26" s="659"/>
      <c r="E26" s="27">
        <v>56.43</v>
      </c>
      <c r="F26" s="447">
        <v>1442</v>
      </c>
      <c r="G26" s="438">
        <f t="shared" si="19"/>
        <v>81372.06</v>
      </c>
      <c r="H26" s="31" t="s">
        <v>40</v>
      </c>
      <c r="I26" s="445">
        <v>13</v>
      </c>
      <c r="J26" s="29">
        <v>2000</v>
      </c>
      <c r="K26" s="12">
        <f t="shared" si="1"/>
        <v>153.84615384615384</v>
      </c>
      <c r="L26" s="445">
        <v>13</v>
      </c>
      <c r="M26" s="13">
        <f t="shared" si="20"/>
        <v>1922.6666666666667</v>
      </c>
      <c r="N26" s="12">
        <f t="shared" si="3"/>
        <v>147.89743589743591</v>
      </c>
      <c r="O26" s="14">
        <f t="shared" si="4"/>
        <v>0</v>
      </c>
      <c r="P26" s="15">
        <f t="shared" si="5"/>
        <v>-5.9487179487179276</v>
      </c>
      <c r="Q26" s="443">
        <f t="shared" si="6"/>
        <v>0.96133333333333348</v>
      </c>
      <c r="R26" s="616"/>
      <c r="S26" s="32">
        <v>0.70833333333333337</v>
      </c>
      <c r="T26" s="32">
        <v>0.73958333333333337</v>
      </c>
      <c r="U26" s="438" t="str">
        <f t="shared" si="22"/>
        <v/>
      </c>
      <c r="V26" s="446">
        <f t="shared" si="21"/>
        <v>45</v>
      </c>
      <c r="W26" s="16"/>
      <c r="X26" s="438"/>
      <c r="Y26" s="438"/>
      <c r="Z26" s="438"/>
      <c r="AA26" s="612"/>
      <c r="AB26" s="612"/>
      <c r="AC26" s="18"/>
      <c r="AD26" s="18"/>
      <c r="AE26" s="14">
        <f t="shared" si="8"/>
        <v>-77.333333333333258</v>
      </c>
      <c r="AF26" s="443">
        <f t="shared" si="9"/>
        <v>0.96133333333333337</v>
      </c>
      <c r="AG26" s="616"/>
    </row>
    <row r="27" spans="1:33" ht="15.75" customHeight="1">
      <c r="A27" s="635" t="s">
        <v>2325</v>
      </c>
      <c r="B27" s="27" t="s">
        <v>5</v>
      </c>
      <c r="C27" s="659" t="s">
        <v>1322</v>
      </c>
      <c r="D27" s="659"/>
      <c r="E27" s="27">
        <v>54.09</v>
      </c>
      <c r="F27" s="447">
        <v>2723</v>
      </c>
      <c r="G27" s="438">
        <f t="shared" si="19"/>
        <v>147287.07</v>
      </c>
      <c r="H27" s="31" t="s">
        <v>40</v>
      </c>
      <c r="I27" s="445">
        <v>18</v>
      </c>
      <c r="J27" s="29">
        <v>2000</v>
      </c>
      <c r="K27" s="12">
        <f t="shared" si="1"/>
        <v>111.11111111111111</v>
      </c>
      <c r="L27" s="445">
        <v>18</v>
      </c>
      <c r="M27" s="13">
        <f t="shared" si="20"/>
        <v>1922.1176470588234</v>
      </c>
      <c r="N27" s="12">
        <f t="shared" si="3"/>
        <v>106.78431372549019</v>
      </c>
      <c r="O27" s="14">
        <f t="shared" si="4"/>
        <v>0</v>
      </c>
      <c r="P27" s="15">
        <f t="shared" si="5"/>
        <v>-4.326797385620921</v>
      </c>
      <c r="Q27" s="443">
        <f t="shared" si="6"/>
        <v>0.96105882352941174</v>
      </c>
      <c r="R27" s="616"/>
      <c r="S27" s="32">
        <v>0.74375000000000002</v>
      </c>
      <c r="T27" s="32">
        <v>0.80277777777777781</v>
      </c>
      <c r="U27" s="438">
        <f t="shared" si="22"/>
        <v>5.9999999999999787</v>
      </c>
      <c r="V27" s="446">
        <f t="shared" si="21"/>
        <v>85.000000000000014</v>
      </c>
      <c r="W27" s="16"/>
      <c r="X27" s="16"/>
      <c r="Y27" s="438"/>
      <c r="Z27" s="438"/>
      <c r="AA27" s="612"/>
      <c r="AB27" s="612"/>
      <c r="AC27" s="18"/>
      <c r="AD27" s="18"/>
      <c r="AE27" s="14">
        <f t="shared" si="8"/>
        <v>-77.882352941176578</v>
      </c>
      <c r="AF27" s="443">
        <f t="shared" si="9"/>
        <v>0.96105882352941174</v>
      </c>
      <c r="AG27" s="616"/>
    </row>
    <row r="28" spans="1:33" ht="15.75" customHeight="1">
      <c r="A28" s="635" t="s">
        <v>2323</v>
      </c>
      <c r="B28" s="27" t="s">
        <v>5</v>
      </c>
      <c r="C28" s="659" t="s">
        <v>1930</v>
      </c>
      <c r="D28" s="659"/>
      <c r="E28" s="27">
        <v>57.3</v>
      </c>
      <c r="F28" s="447">
        <v>1000</v>
      </c>
      <c r="G28" s="438">
        <f t="shared" si="19"/>
        <v>57300</v>
      </c>
      <c r="H28" s="31">
        <v>2</v>
      </c>
      <c r="I28" s="445">
        <v>16</v>
      </c>
      <c r="J28" s="29">
        <v>2000</v>
      </c>
      <c r="K28" s="12">
        <f t="shared" si="1"/>
        <v>125</v>
      </c>
      <c r="L28" s="445">
        <v>16</v>
      </c>
      <c r="M28" s="13">
        <f t="shared" si="20"/>
        <v>1935.483870967739</v>
      </c>
      <c r="N28" s="12">
        <f t="shared" si="3"/>
        <v>120.96774193548369</v>
      </c>
      <c r="O28" s="14">
        <f t="shared" si="4"/>
        <v>0</v>
      </c>
      <c r="P28" s="15">
        <f t="shared" si="5"/>
        <v>-4.0322580645163129</v>
      </c>
      <c r="Q28" s="443">
        <f t="shared" si="6"/>
        <v>0.96774193548386944</v>
      </c>
      <c r="R28" s="616"/>
      <c r="S28" s="32">
        <v>0.80694444444444446</v>
      </c>
      <c r="T28" s="32">
        <v>0.82847222222222228</v>
      </c>
      <c r="U28" s="438">
        <f t="shared" si="22"/>
        <v>5.9999999999999787</v>
      </c>
      <c r="V28" s="446">
        <f t="shared" si="21"/>
        <v>31.00000000000005</v>
      </c>
      <c r="W28" s="16">
        <f>T28</f>
        <v>0.82847222222222228</v>
      </c>
      <c r="X28" s="16">
        <f>S29</f>
        <v>0.86805555555555558</v>
      </c>
      <c r="Y28" s="20"/>
      <c r="Z28" s="20"/>
      <c r="AA28" s="612"/>
      <c r="AB28" s="612"/>
      <c r="AC28" s="18"/>
      <c r="AD28" s="18"/>
      <c r="AE28" s="14">
        <f t="shared" si="8"/>
        <v>-64.516129032261006</v>
      </c>
      <c r="AF28" s="443">
        <f t="shared" si="9"/>
        <v>0.96774193548386944</v>
      </c>
      <c r="AG28" s="616"/>
    </row>
    <row r="29" spans="1:33" ht="15.75" customHeight="1">
      <c r="A29" s="635" t="s">
        <v>2322</v>
      </c>
      <c r="B29" s="27" t="s">
        <v>5</v>
      </c>
      <c r="C29" s="631" t="s">
        <v>1930</v>
      </c>
      <c r="D29" s="632"/>
      <c r="E29" s="27">
        <v>57.3</v>
      </c>
      <c r="F29" s="447">
        <v>1352</v>
      </c>
      <c r="G29" s="438">
        <f t="shared" si="19"/>
        <v>77469.599999999991</v>
      </c>
      <c r="H29" s="31" t="s">
        <v>40</v>
      </c>
      <c r="I29" s="445">
        <v>16</v>
      </c>
      <c r="J29" s="29">
        <v>2000</v>
      </c>
      <c r="K29" s="12">
        <f t="shared" si="1"/>
        <v>125</v>
      </c>
      <c r="L29" s="445">
        <v>16</v>
      </c>
      <c r="M29" s="13">
        <f t="shared" si="20"/>
        <v>1931.4285714285709</v>
      </c>
      <c r="N29" s="12">
        <f t="shared" si="3"/>
        <v>120.71428571428568</v>
      </c>
      <c r="O29" s="14">
        <f t="shared" si="4"/>
        <v>0</v>
      </c>
      <c r="P29" s="15">
        <f t="shared" si="5"/>
        <v>-4.2857142857143202</v>
      </c>
      <c r="Q29" s="443">
        <f t="shared" si="6"/>
        <v>0.96571428571428541</v>
      </c>
      <c r="R29" s="616"/>
      <c r="S29" s="32">
        <v>0.86805555555555558</v>
      </c>
      <c r="T29" s="32">
        <v>0.89722222222222225</v>
      </c>
      <c r="U29" s="438">
        <f t="shared" si="22"/>
        <v>56.999999999999957</v>
      </c>
      <c r="V29" s="446">
        <f t="shared" si="21"/>
        <v>42.000000000000014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-68.571428571429124</v>
      </c>
      <c r="AF29" s="443">
        <f t="shared" si="9"/>
        <v>0.96571428571428541</v>
      </c>
      <c r="AG29" s="616"/>
    </row>
    <row r="30" spans="1:33" ht="15.75" customHeight="1">
      <c r="A30" s="635" t="s">
        <v>2323</v>
      </c>
      <c r="B30" s="27" t="s">
        <v>2319</v>
      </c>
      <c r="C30" s="658"/>
      <c r="D30" s="658"/>
      <c r="E30" s="444"/>
      <c r="F30" s="447"/>
      <c r="G30" s="438"/>
      <c r="H30" s="447"/>
      <c r="I30" s="21">
        <v>15.714285714285714</v>
      </c>
      <c r="J30" s="29">
        <v>2000</v>
      </c>
      <c r="K30" s="12">
        <f t="shared" si="1"/>
        <v>127.27272727272728</v>
      </c>
      <c r="L30" s="21">
        <v>15.714285714285714</v>
      </c>
      <c r="M30" s="13">
        <f>AVERAGE(M23:M29)</f>
        <v>1919.1466145109064</v>
      </c>
      <c r="N30" s="12">
        <f t="shared" si="3"/>
        <v>122.12751183251223</v>
      </c>
      <c r="O30" s="14">
        <f t="shared" si="4"/>
        <v>0</v>
      </c>
      <c r="P30" s="15">
        <f t="shared" si="5"/>
        <v>-5.1452154402150541</v>
      </c>
      <c r="Q30" s="443">
        <f t="shared" si="6"/>
        <v>0.9595733072554532</v>
      </c>
      <c r="R30" s="616"/>
      <c r="S30" s="32"/>
      <c r="T30" s="32"/>
      <c r="U30" s="12"/>
      <c r="V30" s="446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-80.853385489093625</v>
      </c>
      <c r="AF30" s="443">
        <f t="shared" si="9"/>
        <v>0.9595733072554532</v>
      </c>
      <c r="AG30" s="616"/>
    </row>
    <row r="31" spans="1:33" ht="15.75" customHeight="1">
      <c r="A31" s="633" t="s">
        <v>2326</v>
      </c>
      <c r="B31" s="27" t="s">
        <v>20</v>
      </c>
      <c r="C31" s="659" t="s">
        <v>21</v>
      </c>
      <c r="D31" s="659"/>
      <c r="E31" s="27">
        <v>31.29</v>
      </c>
      <c r="F31" s="447">
        <v>4500</v>
      </c>
      <c r="G31" s="438">
        <f t="shared" ref="G31:G36" si="23">E31*F31</f>
        <v>140805</v>
      </c>
      <c r="H31" s="31">
        <v>2</v>
      </c>
      <c r="I31" s="445">
        <v>18</v>
      </c>
      <c r="J31" s="29">
        <v>2400</v>
      </c>
      <c r="K31" s="12">
        <f t="shared" si="1"/>
        <v>133.33333333333334</v>
      </c>
      <c r="L31" s="445">
        <v>18</v>
      </c>
      <c r="M31" s="13">
        <f t="shared" ref="M31:M36" si="24">F31/V31*60</f>
        <v>2288.1355932203392</v>
      </c>
      <c r="N31" s="12">
        <f t="shared" si="3"/>
        <v>127.11864406779662</v>
      </c>
      <c r="O31" s="14">
        <f t="shared" si="4"/>
        <v>0</v>
      </c>
      <c r="P31" s="15">
        <f t="shared" si="5"/>
        <v>-6.2146892655367196</v>
      </c>
      <c r="Q31" s="443">
        <f t="shared" si="6"/>
        <v>0.95338983050847459</v>
      </c>
      <c r="R31" s="616">
        <f>Q37</f>
        <v>0.95670839204843416</v>
      </c>
      <c r="S31" s="32">
        <v>8.3333333333333329E-2</v>
      </c>
      <c r="T31" s="32">
        <v>0.16527777777777777</v>
      </c>
      <c r="U31" s="438"/>
      <c r="V31" s="446">
        <f t="shared" ref="V31:V36" si="25">(T31-S31)*24*60</f>
        <v>118</v>
      </c>
      <c r="W31" s="16">
        <f>T31</f>
        <v>0.16527777777777777</v>
      </c>
      <c r="X31" s="16">
        <f>S32</f>
        <v>0.18611111111111112</v>
      </c>
      <c r="Y31" s="16"/>
      <c r="Z31" s="16"/>
      <c r="AA31" s="612"/>
      <c r="AB31" s="612"/>
      <c r="AC31" s="18">
        <v>6</v>
      </c>
      <c r="AD31" s="18"/>
      <c r="AE31" s="14">
        <f t="shared" si="8"/>
        <v>-111.86440677966084</v>
      </c>
      <c r="AF31" s="443">
        <f t="shared" si="9"/>
        <v>0.9533898305084747</v>
      </c>
      <c r="AG31" s="616">
        <f>AF37</f>
        <v>0.95670839204843428</v>
      </c>
    </row>
    <row r="32" spans="1:33" ht="15.75" customHeight="1">
      <c r="A32" s="633" t="s">
        <v>2326</v>
      </c>
      <c r="B32" s="27" t="s">
        <v>20</v>
      </c>
      <c r="C32" s="659" t="s">
        <v>22</v>
      </c>
      <c r="D32" s="659"/>
      <c r="E32" s="27">
        <v>26.37</v>
      </c>
      <c r="F32" s="447">
        <v>5285</v>
      </c>
      <c r="G32" s="438">
        <f t="shared" si="23"/>
        <v>139365.45000000001</v>
      </c>
      <c r="H32" s="31" t="s">
        <v>40</v>
      </c>
      <c r="I32" s="445">
        <v>18</v>
      </c>
      <c r="J32" s="29">
        <v>2400</v>
      </c>
      <c r="K32" s="12">
        <f t="shared" si="1"/>
        <v>133.33333333333334</v>
      </c>
      <c r="L32" s="445">
        <v>18</v>
      </c>
      <c r="M32" s="13">
        <f t="shared" si="24"/>
        <v>2281.294964028777</v>
      </c>
      <c r="N32" s="12">
        <f t="shared" si="3"/>
        <v>126.73860911270984</v>
      </c>
      <c r="O32" s="14">
        <f t="shared" si="4"/>
        <v>0</v>
      </c>
      <c r="P32" s="15">
        <f t="shared" si="5"/>
        <v>-6.5947242206235046</v>
      </c>
      <c r="Q32" s="443">
        <f t="shared" si="6"/>
        <v>0.95053956834532372</v>
      </c>
      <c r="R32" s="616"/>
      <c r="S32" s="32">
        <v>0.18611111111111112</v>
      </c>
      <c r="T32" s="32">
        <v>0.28263888888888888</v>
      </c>
      <c r="U32" s="438">
        <f t="shared" ref="U32:U36" si="26">(S32-T31)*24*60</f>
        <v>30.000000000000014</v>
      </c>
      <c r="V32" s="446">
        <f t="shared" si="25"/>
        <v>139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-118.70503597122297</v>
      </c>
      <c r="AF32" s="443">
        <f t="shared" si="9"/>
        <v>0.95053956834532372</v>
      </c>
      <c r="AG32" s="616"/>
    </row>
    <row r="33" spans="1:33" ht="15.75" customHeight="1">
      <c r="A33" s="633" t="s">
        <v>2326</v>
      </c>
      <c r="B33" s="27" t="s">
        <v>20</v>
      </c>
      <c r="C33" s="659" t="s">
        <v>57</v>
      </c>
      <c r="D33" s="659"/>
      <c r="E33" s="27">
        <v>26.18</v>
      </c>
      <c r="F33" s="447">
        <v>6579</v>
      </c>
      <c r="G33" s="438">
        <f t="shared" si="23"/>
        <v>172238.22</v>
      </c>
      <c r="H33" s="31" t="s">
        <v>40</v>
      </c>
      <c r="I33" s="445">
        <v>18</v>
      </c>
      <c r="J33" s="29">
        <v>2400</v>
      </c>
      <c r="K33" s="12">
        <f t="shared" si="1"/>
        <v>133.33333333333334</v>
      </c>
      <c r="L33" s="445">
        <v>18</v>
      </c>
      <c r="M33" s="13">
        <f t="shared" si="24"/>
        <v>2294.9999999999995</v>
      </c>
      <c r="N33" s="12">
        <f t="shared" si="3"/>
        <v>127.49999999999997</v>
      </c>
      <c r="O33" s="14">
        <f t="shared" si="4"/>
        <v>0</v>
      </c>
      <c r="P33" s="15">
        <f t="shared" si="5"/>
        <v>-5.8333333333333712</v>
      </c>
      <c r="Q33" s="443">
        <f t="shared" si="6"/>
        <v>0.95624999999999971</v>
      </c>
      <c r="R33" s="616"/>
      <c r="S33" s="32">
        <v>0.28680555555555554</v>
      </c>
      <c r="T33" s="32">
        <v>0.40625</v>
      </c>
      <c r="U33" s="438">
        <f t="shared" si="26"/>
        <v>5.9999999999999787</v>
      </c>
      <c r="V33" s="446">
        <f t="shared" si="25"/>
        <v>172.00000000000003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-105.00000000000045</v>
      </c>
      <c r="AF33" s="443">
        <f t="shared" si="9"/>
        <v>0.95624999999999982</v>
      </c>
      <c r="AG33" s="616"/>
    </row>
    <row r="34" spans="1:33" ht="15.75" customHeight="1">
      <c r="A34" s="633" t="s">
        <v>2326</v>
      </c>
      <c r="B34" s="27" t="s">
        <v>20</v>
      </c>
      <c r="C34" s="659" t="s">
        <v>59</v>
      </c>
      <c r="D34" s="659"/>
      <c r="E34" s="27">
        <v>25.99</v>
      </c>
      <c r="F34" s="447">
        <v>962</v>
      </c>
      <c r="G34" s="438">
        <f t="shared" si="23"/>
        <v>25002.379999999997</v>
      </c>
      <c r="H34" s="31" t="s">
        <v>40</v>
      </c>
      <c r="I34" s="445">
        <v>18</v>
      </c>
      <c r="J34" s="29">
        <v>2400</v>
      </c>
      <c r="K34" s="12">
        <f t="shared" si="1"/>
        <v>133.33333333333334</v>
      </c>
      <c r="L34" s="445">
        <v>18</v>
      </c>
      <c r="M34" s="13">
        <f t="shared" si="24"/>
        <v>2308.8000000000006</v>
      </c>
      <c r="N34" s="12">
        <f t="shared" si="3"/>
        <v>128.26666666666671</v>
      </c>
      <c r="O34" s="14">
        <f t="shared" si="4"/>
        <v>0</v>
      </c>
      <c r="P34" s="15">
        <f t="shared" si="5"/>
        <v>-5.0666666666666345</v>
      </c>
      <c r="Q34" s="443">
        <f t="shared" si="6"/>
        <v>0.9620000000000003</v>
      </c>
      <c r="R34" s="616"/>
      <c r="S34" s="32">
        <v>0.41180555555555554</v>
      </c>
      <c r="T34" s="32">
        <v>0.42916666666666664</v>
      </c>
      <c r="U34" s="438">
        <f t="shared" si="26"/>
        <v>7.9999999999999716</v>
      </c>
      <c r="V34" s="446">
        <f t="shared" si="25"/>
        <v>24.999999999999993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-91.199999999999363</v>
      </c>
      <c r="AF34" s="443">
        <f t="shared" si="9"/>
        <v>0.9620000000000003</v>
      </c>
      <c r="AG34" s="616"/>
    </row>
    <row r="35" spans="1:33" ht="15.75" customHeight="1">
      <c r="A35" s="633" t="s">
        <v>2327</v>
      </c>
      <c r="B35" s="27" t="s">
        <v>20</v>
      </c>
      <c r="C35" s="659" t="s">
        <v>23</v>
      </c>
      <c r="D35" s="659"/>
      <c r="E35" s="27">
        <v>25.99</v>
      </c>
      <c r="F35" s="447">
        <v>3138</v>
      </c>
      <c r="G35" s="438">
        <f t="shared" si="23"/>
        <v>81556.62</v>
      </c>
      <c r="H35" s="31" t="s">
        <v>40</v>
      </c>
      <c r="I35" s="445">
        <v>14</v>
      </c>
      <c r="J35" s="29">
        <v>2400</v>
      </c>
      <c r="K35" s="12">
        <f t="shared" si="1"/>
        <v>171.42857142857142</v>
      </c>
      <c r="L35" s="445">
        <v>14</v>
      </c>
      <c r="M35" s="13">
        <f t="shared" si="24"/>
        <v>2296.0975609756088</v>
      </c>
      <c r="N35" s="12">
        <f t="shared" si="3"/>
        <v>164.00696864111492</v>
      </c>
      <c r="O35" s="14">
        <f t="shared" si="4"/>
        <v>0</v>
      </c>
      <c r="P35" s="15">
        <f t="shared" si="5"/>
        <v>-7.4216027874564929</v>
      </c>
      <c r="Q35" s="443">
        <f t="shared" si="6"/>
        <v>0.95670731707317047</v>
      </c>
      <c r="R35" s="616"/>
      <c r="S35" s="32">
        <v>0.43263888888888885</v>
      </c>
      <c r="T35" s="32">
        <v>0.48958333333333331</v>
      </c>
      <c r="U35" s="438">
        <f t="shared" si="26"/>
        <v>4.9999999999999822</v>
      </c>
      <c r="V35" s="446">
        <f t="shared" si="25"/>
        <v>82.000000000000028</v>
      </c>
      <c r="W35" s="16">
        <f>T35</f>
        <v>0.48958333333333331</v>
      </c>
      <c r="X35" s="16">
        <f>S36</f>
        <v>0.52916666666666667</v>
      </c>
      <c r="Y35" s="16"/>
      <c r="Z35" s="16"/>
      <c r="AA35" s="612"/>
      <c r="AB35" s="612"/>
      <c r="AC35" s="18"/>
      <c r="AD35" s="18"/>
      <c r="AE35" s="14">
        <f t="shared" si="8"/>
        <v>-103.90243902439124</v>
      </c>
      <c r="AF35" s="443">
        <f t="shared" si="9"/>
        <v>0.95670731707317036</v>
      </c>
      <c r="AG35" s="616"/>
    </row>
    <row r="36" spans="1:33" ht="15.75" customHeight="1">
      <c r="A36" s="633" t="s">
        <v>2327</v>
      </c>
      <c r="B36" s="27" t="s">
        <v>20</v>
      </c>
      <c r="C36" s="659" t="s">
        <v>21</v>
      </c>
      <c r="D36" s="659"/>
      <c r="E36" s="27">
        <v>31.29</v>
      </c>
      <c r="F36" s="447">
        <v>3384</v>
      </c>
      <c r="G36" s="438">
        <f t="shared" si="23"/>
        <v>105885.36</v>
      </c>
      <c r="H36" s="31" t="s">
        <v>40</v>
      </c>
      <c r="I36" s="445">
        <v>18</v>
      </c>
      <c r="J36" s="29">
        <v>2400</v>
      </c>
      <c r="K36" s="12">
        <f t="shared" si="1"/>
        <v>133.33333333333334</v>
      </c>
      <c r="L36" s="445">
        <v>18</v>
      </c>
      <c r="M36" s="13">
        <f t="shared" si="24"/>
        <v>2307.272727272727</v>
      </c>
      <c r="N36" s="12">
        <f t="shared" si="3"/>
        <v>128.18181818181816</v>
      </c>
      <c r="O36" s="14">
        <f t="shared" si="4"/>
        <v>0</v>
      </c>
      <c r="P36" s="15">
        <f t="shared" si="5"/>
        <v>-5.1515151515151842</v>
      </c>
      <c r="Q36" s="443">
        <f t="shared" si="6"/>
        <v>0.96136363636363609</v>
      </c>
      <c r="R36" s="616"/>
      <c r="S36" s="32">
        <v>0.52916666666666667</v>
      </c>
      <c r="T36" s="32">
        <v>0.59027777777777779</v>
      </c>
      <c r="U36" s="438">
        <f t="shared" si="26"/>
        <v>57.000000000000036</v>
      </c>
      <c r="V36" s="446">
        <f t="shared" si="25"/>
        <v>88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-92.727272727272975</v>
      </c>
      <c r="AF36" s="443">
        <f t="shared" si="9"/>
        <v>0.96136363636363631</v>
      </c>
      <c r="AG36" s="616"/>
    </row>
    <row r="37" spans="1:33" ht="15.75" customHeight="1">
      <c r="A37" s="633" t="s">
        <v>2326</v>
      </c>
      <c r="B37" s="27" t="s">
        <v>2319</v>
      </c>
      <c r="C37" s="658"/>
      <c r="D37" s="658"/>
      <c r="E37" s="444"/>
      <c r="F37" s="447"/>
      <c r="G37" s="438"/>
      <c r="H37" s="447"/>
      <c r="I37" s="21">
        <v>17.333333333333332</v>
      </c>
      <c r="J37" s="29">
        <v>2400</v>
      </c>
      <c r="K37" s="12">
        <f t="shared" si="1"/>
        <v>138.46153846153848</v>
      </c>
      <c r="L37" s="21">
        <v>17.333333333333332</v>
      </c>
      <c r="M37" s="13">
        <f>AVERAGE(M31:M36)</f>
        <v>2296.1001409162423</v>
      </c>
      <c r="N37" s="12">
        <f t="shared" si="3"/>
        <v>132.46731582209091</v>
      </c>
      <c r="O37" s="14">
        <f t="shared" si="4"/>
        <v>0</v>
      </c>
      <c r="P37" s="15">
        <f t="shared" si="5"/>
        <v>-5.9942226394475711</v>
      </c>
      <c r="Q37" s="443">
        <f t="shared" si="6"/>
        <v>0.95670839204843416</v>
      </c>
      <c r="R37" s="616"/>
      <c r="S37" s="32"/>
      <c r="T37" s="32"/>
      <c r="U37" s="438"/>
      <c r="V37" s="446"/>
      <c r="W37" s="438"/>
      <c r="X37" s="438"/>
      <c r="Y37" s="22">
        <f>SUM(Y31:Y36)</f>
        <v>0</v>
      </c>
      <c r="Z37" s="22">
        <f>SUM(Z31:Z36)</f>
        <v>0</v>
      </c>
      <c r="AA37" s="611"/>
      <c r="AB37" s="611"/>
      <c r="AC37" s="22">
        <v>6</v>
      </c>
      <c r="AD37" s="22">
        <f>SUM(AD31:AD36)</f>
        <v>0</v>
      </c>
      <c r="AE37" s="14">
        <f t="shared" si="8"/>
        <v>-103.89985908375775</v>
      </c>
      <c r="AF37" s="443">
        <f t="shared" si="9"/>
        <v>0.95670839204843428</v>
      </c>
      <c r="AG37" s="616"/>
    </row>
    <row r="38" spans="1:33" ht="15.75" customHeight="1">
      <c r="A38" s="629" t="s">
        <v>2328</v>
      </c>
      <c r="B38" s="27" t="s">
        <v>20</v>
      </c>
      <c r="C38" s="660" t="s">
        <v>58</v>
      </c>
      <c r="D38" s="660"/>
      <c r="E38" s="27">
        <v>26.18</v>
      </c>
      <c r="F38" s="447">
        <v>4851</v>
      </c>
      <c r="G38" s="438">
        <f t="shared" ref="G38:G43" si="27">E38*F38</f>
        <v>126999.18</v>
      </c>
      <c r="H38" s="31" t="s">
        <v>40</v>
      </c>
      <c r="I38" s="445">
        <v>20</v>
      </c>
      <c r="J38" s="29">
        <v>2400</v>
      </c>
      <c r="K38" s="12">
        <f t="shared" si="1"/>
        <v>120</v>
      </c>
      <c r="L38" s="445">
        <v>20</v>
      </c>
      <c r="M38" s="13">
        <f t="shared" ref="M38:M43" si="28">F38/V38*60</f>
        <v>2291.8110236220473</v>
      </c>
      <c r="N38" s="12">
        <f t="shared" si="3"/>
        <v>114.59055118110237</v>
      </c>
      <c r="O38" s="14">
        <f t="shared" si="4"/>
        <v>0</v>
      </c>
      <c r="P38" s="15">
        <f t="shared" si="5"/>
        <v>-5.40944881889763</v>
      </c>
      <c r="Q38" s="443">
        <f t="shared" si="6"/>
        <v>0.95492125984251974</v>
      </c>
      <c r="R38" s="616">
        <f>Q44</f>
        <v>0.95781494609146134</v>
      </c>
      <c r="S38" s="32">
        <v>8.3333333333333329E-2</v>
      </c>
      <c r="T38" s="32">
        <v>0.17152777777777778</v>
      </c>
      <c r="U38" s="438"/>
      <c r="V38" s="446">
        <f t="shared" ref="V38:V43" si="29">(T38-S38)*24*60</f>
        <v>127</v>
      </c>
      <c r="W38" s="20">
        <f>T38</f>
        <v>0.17152777777777778</v>
      </c>
      <c r="X38" s="20">
        <f>S39</f>
        <v>0.18958333333333333</v>
      </c>
      <c r="Y38" s="20"/>
      <c r="Z38" s="20"/>
      <c r="AA38" s="612"/>
      <c r="AB38" s="612"/>
      <c r="AC38" s="18">
        <v>6</v>
      </c>
      <c r="AD38" s="18"/>
      <c r="AE38" s="14">
        <f t="shared" si="8"/>
        <v>-108.18897637795271</v>
      </c>
      <c r="AF38" s="443">
        <f t="shared" si="9"/>
        <v>0.95492125984251974</v>
      </c>
      <c r="AG38" s="616">
        <f>AF44</f>
        <v>0.95781494609146145</v>
      </c>
    </row>
    <row r="39" spans="1:33" ht="15.75" customHeight="1">
      <c r="A39" s="629" t="s">
        <v>2328</v>
      </c>
      <c r="B39" s="27" t="s">
        <v>20</v>
      </c>
      <c r="C39" s="660" t="s">
        <v>25</v>
      </c>
      <c r="D39" s="660"/>
      <c r="E39" s="27">
        <v>24.43</v>
      </c>
      <c r="F39" s="447">
        <v>3500</v>
      </c>
      <c r="G39" s="438">
        <f t="shared" si="27"/>
        <v>85505</v>
      </c>
      <c r="H39" s="31">
        <v>2</v>
      </c>
      <c r="I39" s="445">
        <v>14</v>
      </c>
      <c r="J39" s="29">
        <v>2400</v>
      </c>
      <c r="K39" s="12">
        <f t="shared" si="1"/>
        <v>171.42857142857142</v>
      </c>
      <c r="L39" s="445">
        <v>14</v>
      </c>
      <c r="M39" s="13">
        <f t="shared" si="28"/>
        <v>2307.6923076923076</v>
      </c>
      <c r="N39" s="12">
        <f t="shared" si="3"/>
        <v>164.83516483516482</v>
      </c>
      <c r="O39" s="14">
        <f t="shared" si="4"/>
        <v>0</v>
      </c>
      <c r="P39" s="15">
        <f t="shared" si="5"/>
        <v>-6.5934065934065984</v>
      </c>
      <c r="Q39" s="443">
        <f t="shared" si="6"/>
        <v>0.96153846153846145</v>
      </c>
      <c r="R39" s="616"/>
      <c r="S39" s="32">
        <v>0.18958333333333333</v>
      </c>
      <c r="T39" s="32">
        <v>0.25277777777777777</v>
      </c>
      <c r="U39" s="438">
        <f t="shared" ref="U39:U43" si="30">(S39-T38)*24*60</f>
        <v>25.999999999999986</v>
      </c>
      <c r="V39" s="446">
        <f t="shared" si="29"/>
        <v>91</v>
      </c>
      <c r="W39" s="438"/>
      <c r="X39" s="438"/>
      <c r="Y39" s="438"/>
      <c r="Z39" s="438"/>
      <c r="AA39" s="612"/>
      <c r="AB39" s="612"/>
      <c r="AC39" s="18"/>
      <c r="AD39" s="18"/>
      <c r="AE39" s="14">
        <f t="shared" si="8"/>
        <v>-92.307692307692378</v>
      </c>
      <c r="AF39" s="443">
        <f t="shared" si="9"/>
        <v>0.96153846153846156</v>
      </c>
      <c r="AG39" s="616"/>
    </row>
    <row r="40" spans="1:33">
      <c r="A40" s="630" t="s">
        <v>2328</v>
      </c>
      <c r="B40" s="27" t="s">
        <v>20</v>
      </c>
      <c r="C40" s="660" t="s">
        <v>83</v>
      </c>
      <c r="D40" s="660"/>
      <c r="E40" s="27">
        <v>25.98</v>
      </c>
      <c r="F40" s="447">
        <v>3022</v>
      </c>
      <c r="G40" s="438">
        <f t="shared" si="27"/>
        <v>78511.56</v>
      </c>
      <c r="H40" s="31" t="s">
        <v>40</v>
      </c>
      <c r="I40" s="445">
        <v>20</v>
      </c>
      <c r="J40" s="29">
        <v>2400</v>
      </c>
      <c r="K40" s="12">
        <f t="shared" si="1"/>
        <v>120</v>
      </c>
      <c r="L40" s="445">
        <v>20</v>
      </c>
      <c r="M40" s="13">
        <f t="shared" si="28"/>
        <v>2295.1898734177203</v>
      </c>
      <c r="N40" s="12">
        <f t="shared" si="3"/>
        <v>114.75949367088602</v>
      </c>
      <c r="O40" s="14">
        <f t="shared" si="4"/>
        <v>0</v>
      </c>
      <c r="P40" s="15">
        <f t="shared" si="5"/>
        <v>-5.240506329113984</v>
      </c>
      <c r="Q40" s="443">
        <f t="shared" si="6"/>
        <v>0.95632911392405018</v>
      </c>
      <c r="R40" s="616"/>
      <c r="S40" s="32">
        <v>0.25624999999999998</v>
      </c>
      <c r="T40" s="32">
        <v>0.31111111111111112</v>
      </c>
      <c r="U40" s="438">
        <f t="shared" si="30"/>
        <v>4.9999999999999822</v>
      </c>
      <c r="V40" s="446">
        <f t="shared" si="29"/>
        <v>79.000000000000043</v>
      </c>
      <c r="W40" s="438"/>
      <c r="X40" s="438"/>
      <c r="Y40" s="438"/>
      <c r="Z40" s="438"/>
      <c r="AA40" s="612"/>
      <c r="AB40" s="612"/>
      <c r="AC40" s="18"/>
      <c r="AD40" s="18"/>
      <c r="AE40" s="14">
        <f t="shared" si="8"/>
        <v>-104.81012658227974</v>
      </c>
      <c r="AF40" s="443">
        <f t="shared" si="9"/>
        <v>0.95632911392405007</v>
      </c>
      <c r="AG40" s="616"/>
    </row>
    <row r="41" spans="1:33">
      <c r="A41" s="630" t="s">
        <v>2328</v>
      </c>
      <c r="B41" s="27" t="s">
        <v>20</v>
      </c>
      <c r="C41" s="660" t="s">
        <v>26</v>
      </c>
      <c r="D41" s="660"/>
      <c r="E41" s="27">
        <v>34.1</v>
      </c>
      <c r="F41" s="447">
        <v>5335</v>
      </c>
      <c r="G41" s="438">
        <f t="shared" si="27"/>
        <v>181923.5</v>
      </c>
      <c r="H41" s="31" t="s">
        <v>40</v>
      </c>
      <c r="I41" s="445">
        <v>17</v>
      </c>
      <c r="J41" s="29">
        <v>1600</v>
      </c>
      <c r="K41" s="12">
        <f t="shared" si="1"/>
        <v>94.117647058823536</v>
      </c>
      <c r="L41" s="445">
        <v>17</v>
      </c>
      <c r="M41" s="13">
        <f t="shared" si="28"/>
        <v>1524.2857142857138</v>
      </c>
      <c r="N41" s="12">
        <f t="shared" si="3"/>
        <v>89.66386554621846</v>
      </c>
      <c r="O41" s="14">
        <f t="shared" si="4"/>
        <v>0</v>
      </c>
      <c r="P41" s="15">
        <f t="shared" si="5"/>
        <v>-4.4537815126050759</v>
      </c>
      <c r="Q41" s="443">
        <f t="shared" si="6"/>
        <v>0.95267857142857104</v>
      </c>
      <c r="R41" s="616"/>
      <c r="S41" s="32">
        <v>0.31458333333333333</v>
      </c>
      <c r="T41" s="32">
        <v>0.4604166666666667</v>
      </c>
      <c r="U41" s="438">
        <f t="shared" si="30"/>
        <v>4.9999999999999822</v>
      </c>
      <c r="V41" s="446">
        <f t="shared" si="29"/>
        <v>210.00000000000006</v>
      </c>
      <c r="W41" s="16"/>
      <c r="X41" s="16"/>
      <c r="Y41" s="16"/>
      <c r="Z41" s="16"/>
      <c r="AA41" s="612"/>
      <c r="AB41" s="612"/>
      <c r="AC41" s="18"/>
      <c r="AD41" s="18"/>
      <c r="AE41" s="14">
        <f t="shared" si="8"/>
        <v>-75.714285714286234</v>
      </c>
      <c r="AF41" s="443">
        <f t="shared" si="9"/>
        <v>0.95267857142857115</v>
      </c>
      <c r="AG41" s="616"/>
    </row>
    <row r="42" spans="1:33">
      <c r="A42" s="630" t="s">
        <v>2328</v>
      </c>
      <c r="B42" s="27" t="s">
        <v>20</v>
      </c>
      <c r="C42" s="660" t="s">
        <v>64</v>
      </c>
      <c r="D42" s="660"/>
      <c r="E42" s="27">
        <v>20.21</v>
      </c>
      <c r="F42" s="447">
        <v>1930</v>
      </c>
      <c r="G42" s="438">
        <f t="shared" si="27"/>
        <v>39005.300000000003</v>
      </c>
      <c r="H42" s="31" t="s">
        <v>40</v>
      </c>
      <c r="I42" s="445">
        <v>18</v>
      </c>
      <c r="J42" s="29">
        <v>2400</v>
      </c>
      <c r="K42" s="12">
        <f t="shared" si="1"/>
        <v>133.33333333333334</v>
      </c>
      <c r="L42" s="445">
        <v>18</v>
      </c>
      <c r="M42" s="13">
        <f t="shared" si="28"/>
        <v>2316.0000000000005</v>
      </c>
      <c r="N42" s="12">
        <f t="shared" si="3"/>
        <v>128.66666666666669</v>
      </c>
      <c r="O42" s="14">
        <f t="shared" si="4"/>
        <v>0</v>
      </c>
      <c r="P42" s="15">
        <f t="shared" si="5"/>
        <v>-4.6666666666666572</v>
      </c>
      <c r="Q42" s="443">
        <f t="shared" si="6"/>
        <v>0.96500000000000008</v>
      </c>
      <c r="R42" s="616"/>
      <c r="S42" s="32">
        <v>0.46597222222222223</v>
      </c>
      <c r="T42" s="32">
        <v>0.50069444444444444</v>
      </c>
      <c r="U42" s="438">
        <f t="shared" si="30"/>
        <v>7.9999999999999716</v>
      </c>
      <c r="V42" s="446">
        <f t="shared" si="29"/>
        <v>49.999999999999986</v>
      </c>
      <c r="W42" s="16">
        <f>T42</f>
        <v>0.50069444444444444</v>
      </c>
      <c r="X42" s="16">
        <f>S43</f>
        <v>0.53888888888888886</v>
      </c>
      <c r="Y42" s="16"/>
      <c r="Z42" s="16"/>
      <c r="AA42" s="612"/>
      <c r="AB42" s="612"/>
      <c r="AC42" s="18"/>
      <c r="AD42" s="18"/>
      <c r="AE42" s="14">
        <f t="shared" si="8"/>
        <v>-83.999999999999545</v>
      </c>
      <c r="AF42" s="443">
        <f t="shared" si="9"/>
        <v>0.96500000000000019</v>
      </c>
      <c r="AG42" s="616"/>
    </row>
    <row r="43" spans="1:33">
      <c r="A43" s="630" t="s">
        <v>2328</v>
      </c>
      <c r="B43" s="27" t="s">
        <v>20</v>
      </c>
      <c r="C43" s="660" t="s">
        <v>25</v>
      </c>
      <c r="D43" s="660"/>
      <c r="E43" s="27">
        <v>24.43</v>
      </c>
      <c r="F43" s="447">
        <v>2635</v>
      </c>
      <c r="G43" s="438">
        <f t="shared" si="27"/>
        <v>64373.049999999996</v>
      </c>
      <c r="H43" s="31" t="s">
        <v>40</v>
      </c>
      <c r="I43" s="445">
        <v>14</v>
      </c>
      <c r="J43" s="29">
        <v>2400</v>
      </c>
      <c r="K43" s="12">
        <f t="shared" si="1"/>
        <v>171.42857142857142</v>
      </c>
      <c r="L43" s="445">
        <v>14</v>
      </c>
      <c r="M43" s="13">
        <f t="shared" si="28"/>
        <v>2291.3043478260847</v>
      </c>
      <c r="N43" s="12">
        <f t="shared" si="3"/>
        <v>163.66459627329178</v>
      </c>
      <c r="O43" s="14">
        <f t="shared" si="4"/>
        <v>0</v>
      </c>
      <c r="P43" s="15">
        <f t="shared" si="5"/>
        <v>-7.7639751552796383</v>
      </c>
      <c r="Q43" s="443">
        <f t="shared" si="6"/>
        <v>0.95471014492753548</v>
      </c>
      <c r="R43" s="616"/>
      <c r="S43" s="32">
        <v>0.53888888888888886</v>
      </c>
      <c r="T43" s="32">
        <v>0.58680555555555558</v>
      </c>
      <c r="U43" s="438">
        <f t="shared" si="30"/>
        <v>54.999999999999964</v>
      </c>
      <c r="V43" s="446">
        <f t="shared" si="29"/>
        <v>69.000000000000071</v>
      </c>
      <c r="W43" s="16"/>
      <c r="X43" s="16"/>
      <c r="Y43" s="16"/>
      <c r="Z43" s="16"/>
      <c r="AA43" s="612"/>
      <c r="AB43" s="612"/>
      <c r="AC43" s="18"/>
      <c r="AD43" s="18"/>
      <c r="AE43" s="14">
        <f t="shared" si="8"/>
        <v>-108.69565217391528</v>
      </c>
      <c r="AF43" s="443">
        <f t="shared" si="9"/>
        <v>0.95471014492753525</v>
      </c>
      <c r="AG43" s="616"/>
    </row>
    <row r="44" spans="1:33">
      <c r="A44" s="630" t="s">
        <v>2328</v>
      </c>
      <c r="B44" s="28" t="s">
        <v>2319</v>
      </c>
      <c r="C44" s="658"/>
      <c r="D44" s="658"/>
      <c r="E44" s="444"/>
      <c r="F44" s="28"/>
      <c r="G44" s="12"/>
      <c r="H44" s="447"/>
      <c r="I44" s="21">
        <v>17.166666666666668</v>
      </c>
      <c r="J44" s="29">
        <v>2266.6666666666665</v>
      </c>
      <c r="K44" s="12">
        <f t="shared" si="1"/>
        <v>132.03883495145629</v>
      </c>
      <c r="L44" s="21">
        <v>17.166666666666668</v>
      </c>
      <c r="M44" s="13">
        <f>AVERAGE(M38:M43)</f>
        <v>2171.0472111406457</v>
      </c>
      <c r="N44" s="12">
        <f t="shared" si="3"/>
        <v>126.46876958100847</v>
      </c>
      <c r="O44" s="14">
        <f t="shared" si="4"/>
        <v>0</v>
      </c>
      <c r="P44" s="15">
        <f t="shared" si="5"/>
        <v>-5.5700653704478214</v>
      </c>
      <c r="Q44" s="443">
        <f t="shared" si="6"/>
        <v>0.95781494609146134</v>
      </c>
      <c r="R44" s="616"/>
      <c r="S44" s="32"/>
      <c r="T44" s="32"/>
      <c r="U44" s="12"/>
      <c r="V44" s="446"/>
      <c r="W44" s="12"/>
      <c r="X44" s="12"/>
      <c r="Y44" s="22">
        <f>SUM(Y38:Y43)</f>
        <v>0</v>
      </c>
      <c r="Z44" s="22">
        <f>SUM(Z38:Z43)</f>
        <v>0</v>
      </c>
      <c r="AA44" s="611"/>
      <c r="AB44" s="611"/>
      <c r="AC44" s="22">
        <v>6</v>
      </c>
      <c r="AD44" s="22">
        <f>SUM(AD38:AD43)</f>
        <v>0</v>
      </c>
      <c r="AE44" s="14">
        <f t="shared" si="8"/>
        <v>-95.619455526020829</v>
      </c>
      <c r="AF44" s="443">
        <f t="shared" si="9"/>
        <v>0.95781494609146145</v>
      </c>
      <c r="AG44" s="616"/>
    </row>
    <row r="45" spans="1:33" ht="15.75" customHeight="1">
      <c r="A45" s="623" t="s">
        <v>2329</v>
      </c>
      <c r="B45" s="27" t="s">
        <v>27</v>
      </c>
      <c r="C45" s="605" t="s">
        <v>33</v>
      </c>
      <c r="D45" s="606"/>
      <c r="E45" s="27">
        <v>34.36</v>
      </c>
      <c r="F45" s="447">
        <v>1837</v>
      </c>
      <c r="G45" s="438">
        <f t="shared" ref="G45:G48" si="31">E45*F45</f>
        <v>63119.32</v>
      </c>
      <c r="H45" s="31" t="s">
        <v>40</v>
      </c>
      <c r="I45" s="445">
        <v>10</v>
      </c>
      <c r="J45" s="29">
        <v>3000</v>
      </c>
      <c r="K45" s="12">
        <f t="shared" si="1"/>
        <v>300</v>
      </c>
      <c r="L45" s="445">
        <v>10</v>
      </c>
      <c r="M45" s="13">
        <f t="shared" ref="M45:M48" si="32">F45/V45*60</f>
        <v>2900.5263157894747</v>
      </c>
      <c r="N45" s="13">
        <f t="shared" si="3"/>
        <v>290.05263157894746</v>
      </c>
      <c r="O45" s="14">
        <f t="shared" si="4"/>
        <v>0</v>
      </c>
      <c r="P45" s="15">
        <f t="shared" si="5"/>
        <v>-9.9473684210525448</v>
      </c>
      <c r="Q45" s="443">
        <f t="shared" si="6"/>
        <v>0.96684210526315817</v>
      </c>
      <c r="R45" s="626">
        <f>Q49</f>
        <v>0.96199912436370438</v>
      </c>
      <c r="S45" s="32">
        <v>0.20833333333333334</v>
      </c>
      <c r="T45" s="32">
        <v>0.23472222222222222</v>
      </c>
      <c r="U45" s="20"/>
      <c r="V45" s="446">
        <f t="shared" ref="V45:V48" si="33">(T45-S45)*24*60</f>
        <v>37.999999999999986</v>
      </c>
      <c r="W45" s="16"/>
      <c r="X45" s="16"/>
      <c r="Y45" s="19"/>
      <c r="Z45" s="19"/>
      <c r="AA45" s="607"/>
      <c r="AB45" s="608"/>
      <c r="AC45" s="18">
        <v>4</v>
      </c>
      <c r="AD45" s="18"/>
      <c r="AE45" s="14">
        <f t="shared" si="8"/>
        <v>-99.473684210525334</v>
      </c>
      <c r="AF45" s="443">
        <f t="shared" si="9"/>
        <v>0.96684210526315817</v>
      </c>
      <c r="AG45" s="626">
        <f>AF49</f>
        <v>0.96199912436370449</v>
      </c>
    </row>
    <row r="46" spans="1:33" ht="15.75" customHeight="1">
      <c r="A46" s="624" t="s">
        <v>2329</v>
      </c>
      <c r="B46" s="27" t="s">
        <v>27</v>
      </c>
      <c r="C46" s="605" t="s">
        <v>29</v>
      </c>
      <c r="D46" s="606"/>
      <c r="E46" s="27">
        <v>21.13</v>
      </c>
      <c r="F46" s="447">
        <v>4663</v>
      </c>
      <c r="G46" s="438">
        <f t="shared" si="31"/>
        <v>98529.19</v>
      </c>
      <c r="H46" s="31" t="s">
        <v>40</v>
      </c>
      <c r="I46" s="445">
        <v>10</v>
      </c>
      <c r="J46" s="29">
        <v>3000</v>
      </c>
      <c r="K46" s="12">
        <f t="shared" si="1"/>
        <v>300</v>
      </c>
      <c r="L46" s="445">
        <v>10</v>
      </c>
      <c r="M46" s="13">
        <f t="shared" si="32"/>
        <v>2854.8979591836746</v>
      </c>
      <c r="N46" s="13">
        <f t="shared" si="3"/>
        <v>285.48979591836746</v>
      </c>
      <c r="O46" s="14">
        <f t="shared" si="4"/>
        <v>0</v>
      </c>
      <c r="P46" s="15">
        <f t="shared" si="5"/>
        <v>-14.510204081632537</v>
      </c>
      <c r="Q46" s="443">
        <f t="shared" si="6"/>
        <v>0.95163265306122491</v>
      </c>
      <c r="R46" s="627"/>
      <c r="S46" s="32">
        <v>0.23819444444444443</v>
      </c>
      <c r="T46" s="32">
        <v>0.30624999999999997</v>
      </c>
      <c r="U46" s="438">
        <f t="shared" ref="U46:U48" si="34">(S46-T45)*24*60</f>
        <v>4.9999999999999822</v>
      </c>
      <c r="V46" s="446">
        <f t="shared" si="33"/>
        <v>97.999999999999972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-145.10204081632537</v>
      </c>
      <c r="AF46" s="443">
        <f t="shared" si="9"/>
        <v>0.95163265306122491</v>
      </c>
      <c r="AG46" s="627"/>
    </row>
    <row r="47" spans="1:33" ht="15.75" customHeight="1">
      <c r="A47" s="624" t="s">
        <v>2329</v>
      </c>
      <c r="B47" s="27" t="s">
        <v>27</v>
      </c>
      <c r="C47" s="605" t="s">
        <v>30</v>
      </c>
      <c r="D47" s="606"/>
      <c r="E47" s="27">
        <v>27.17</v>
      </c>
      <c r="F47" s="447">
        <v>4423</v>
      </c>
      <c r="G47" s="438">
        <f t="shared" si="31"/>
        <v>120172.91</v>
      </c>
      <c r="H47" s="31" t="s">
        <v>40</v>
      </c>
      <c r="I47" s="445">
        <v>10</v>
      </c>
      <c r="J47" s="29">
        <v>3000</v>
      </c>
      <c r="K47" s="12">
        <f t="shared" si="1"/>
        <v>300</v>
      </c>
      <c r="L47" s="445">
        <v>10</v>
      </c>
      <c r="M47" s="13">
        <f t="shared" si="32"/>
        <v>2884.5652173913045</v>
      </c>
      <c r="N47" s="13">
        <f t="shared" si="3"/>
        <v>288.45652173913044</v>
      </c>
      <c r="O47" s="14">
        <f t="shared" si="4"/>
        <v>0</v>
      </c>
      <c r="P47" s="15">
        <f t="shared" si="5"/>
        <v>-11.543478260869563</v>
      </c>
      <c r="Q47" s="443">
        <f t="shared" si="6"/>
        <v>0.96152173913043482</v>
      </c>
      <c r="R47" s="627"/>
      <c r="S47" s="32">
        <v>0.3118055555555555</v>
      </c>
      <c r="T47" s="32">
        <v>0.37569444444444439</v>
      </c>
      <c r="U47" s="438">
        <f t="shared" si="34"/>
        <v>7.9999999999999716</v>
      </c>
      <c r="V47" s="446">
        <f t="shared" si="33"/>
        <v>92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-115.43478260869551</v>
      </c>
      <c r="AF47" s="443">
        <f t="shared" si="9"/>
        <v>0.96152173913043482</v>
      </c>
      <c r="AG47" s="627"/>
    </row>
    <row r="48" spans="1:33" ht="15.75" customHeight="1">
      <c r="A48" s="624" t="s">
        <v>2329</v>
      </c>
      <c r="B48" s="27" t="s">
        <v>27</v>
      </c>
      <c r="C48" s="605" t="s">
        <v>35</v>
      </c>
      <c r="D48" s="606"/>
      <c r="E48" s="27">
        <v>35.869999999999997</v>
      </c>
      <c r="F48" s="447">
        <v>1936</v>
      </c>
      <c r="G48" s="438">
        <f t="shared" si="31"/>
        <v>69444.319999999992</v>
      </c>
      <c r="H48" s="31" t="s">
        <v>40</v>
      </c>
      <c r="I48" s="445">
        <v>9</v>
      </c>
      <c r="J48" s="29">
        <v>3000</v>
      </c>
      <c r="K48" s="12">
        <f t="shared" si="1"/>
        <v>333.33333333333331</v>
      </c>
      <c r="L48" s="445">
        <v>9</v>
      </c>
      <c r="M48" s="13">
        <f t="shared" si="32"/>
        <v>2903.9999999999991</v>
      </c>
      <c r="N48" s="13">
        <f t="shared" si="3"/>
        <v>322.66666666666657</v>
      </c>
      <c r="O48" s="14">
        <f t="shared" si="4"/>
        <v>0</v>
      </c>
      <c r="P48" s="15">
        <f t="shared" si="5"/>
        <v>-10.666666666666742</v>
      </c>
      <c r="Q48" s="443">
        <f t="shared" si="6"/>
        <v>0.96799999999999975</v>
      </c>
      <c r="R48" s="627"/>
      <c r="S48" s="32">
        <v>0.3791666666666666</v>
      </c>
      <c r="T48" s="32">
        <v>0.40694444444444439</v>
      </c>
      <c r="U48" s="438">
        <f t="shared" si="34"/>
        <v>4.9999999999999822</v>
      </c>
      <c r="V48" s="446">
        <f t="shared" si="33"/>
        <v>40.000000000000014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-96.000000000000909</v>
      </c>
      <c r="AF48" s="443">
        <f t="shared" si="9"/>
        <v>0.96799999999999975</v>
      </c>
      <c r="AG48" s="627"/>
    </row>
    <row r="49" spans="1:33" ht="15.75" customHeight="1">
      <c r="A49" s="625" t="s">
        <v>2329</v>
      </c>
      <c r="B49" s="27" t="s">
        <v>2319</v>
      </c>
      <c r="C49" s="609"/>
      <c r="D49" s="610"/>
      <c r="E49" s="436"/>
      <c r="F49" s="447"/>
      <c r="G49" s="438"/>
      <c r="H49" s="447"/>
      <c r="I49" s="21">
        <v>9.75</v>
      </c>
      <c r="J49" s="29">
        <v>3000</v>
      </c>
      <c r="K49" s="12">
        <f t="shared" si="1"/>
        <v>307.69230769230768</v>
      </c>
      <c r="L49" s="21">
        <v>9.75</v>
      </c>
      <c r="M49" s="13">
        <f>AVERAGE(M45:M48)</f>
        <v>2885.9973730911133</v>
      </c>
      <c r="N49" s="12">
        <f t="shared" si="3"/>
        <v>295.99973057344749</v>
      </c>
      <c r="O49" s="14">
        <f t="shared" si="4"/>
        <v>0</v>
      </c>
      <c r="P49" s="15">
        <f t="shared" si="5"/>
        <v>-11.692577118860186</v>
      </c>
      <c r="Q49" s="443">
        <f t="shared" si="6"/>
        <v>0.96199912436370438</v>
      </c>
      <c r="R49" s="628"/>
      <c r="S49" s="32"/>
      <c r="T49" s="32"/>
      <c r="U49" s="438"/>
      <c r="V49" s="446"/>
      <c r="W49" s="16"/>
      <c r="X49" s="16"/>
      <c r="Y49" s="22">
        <f>SUM(Y45:Y48)</f>
        <v>0</v>
      </c>
      <c r="Z49" s="22">
        <f>SUM(Z45:Z48)</f>
        <v>0</v>
      </c>
      <c r="AA49" s="619"/>
      <c r="AB49" s="620"/>
      <c r="AC49" s="22">
        <v>4</v>
      </c>
      <c r="AD49" s="22">
        <f>SUM(AD45:AD48)</f>
        <v>0</v>
      </c>
      <c r="AE49" s="14">
        <f t="shared" si="8"/>
        <v>-114.00262690888667</v>
      </c>
      <c r="AF49" s="443">
        <f t="shared" si="9"/>
        <v>0.96199912436370449</v>
      </c>
      <c r="AG49" s="628"/>
    </row>
    <row r="50" spans="1:33" ht="15.75" customHeight="1">
      <c r="A50" s="621" t="s">
        <v>2330</v>
      </c>
      <c r="B50" s="27" t="s">
        <v>5</v>
      </c>
      <c r="C50" s="660" t="s">
        <v>15</v>
      </c>
      <c r="D50" s="660"/>
      <c r="E50" s="27">
        <v>59.04</v>
      </c>
      <c r="F50" s="30">
        <v>1370</v>
      </c>
      <c r="G50" s="438">
        <f t="shared" ref="G50:G58" si="35">E50*F50</f>
        <v>80884.800000000003</v>
      </c>
      <c r="H50" s="31" t="s">
        <v>40</v>
      </c>
      <c r="I50" s="445">
        <v>19</v>
      </c>
      <c r="J50" s="29">
        <v>2000</v>
      </c>
      <c r="K50" s="12">
        <f t="shared" si="1"/>
        <v>105.26315789473684</v>
      </c>
      <c r="L50" s="445">
        <v>19</v>
      </c>
      <c r="M50" s="13">
        <f t="shared" ref="M50" si="36">F50/V50*60</f>
        <v>1911.627906976744</v>
      </c>
      <c r="N50" s="13">
        <f t="shared" si="3"/>
        <v>100.61199510403917</v>
      </c>
      <c r="O50" s="14">
        <f t="shared" si="4"/>
        <v>0</v>
      </c>
      <c r="P50" s="15">
        <f t="shared" si="5"/>
        <v>-4.6511627906976685</v>
      </c>
      <c r="Q50" s="443">
        <f t="shared" si="6"/>
        <v>0.95581395348837217</v>
      </c>
      <c r="R50" s="616">
        <f>Q59</f>
        <v>0.96117892120570225</v>
      </c>
      <c r="S50" s="32">
        <v>0.20833333333333334</v>
      </c>
      <c r="T50" s="32">
        <v>0.23819444444444446</v>
      </c>
      <c r="U50" s="20"/>
      <c r="V50" s="446">
        <f t="shared" ref="V50:V58" si="37">(T50-S50)*24*60</f>
        <v>43.000000000000007</v>
      </c>
      <c r="W50" s="16"/>
      <c r="X50" s="16"/>
      <c r="Y50" s="20"/>
      <c r="Z50" s="20"/>
      <c r="AA50" s="612"/>
      <c r="AB50" s="612"/>
      <c r="AC50" s="18">
        <v>9</v>
      </c>
      <c r="AD50" s="18"/>
      <c r="AE50" s="14">
        <f t="shared" si="8"/>
        <v>-88.372093023255957</v>
      </c>
      <c r="AF50" s="443">
        <f t="shared" si="9"/>
        <v>0.95581395348837206</v>
      </c>
      <c r="AG50" s="616">
        <f>AF59</f>
        <v>0.96117892120570225</v>
      </c>
    </row>
    <row r="51" spans="1:33" ht="15.75" customHeight="1">
      <c r="A51" s="621" t="s">
        <v>2330</v>
      </c>
      <c r="B51" s="27" t="s">
        <v>5</v>
      </c>
      <c r="C51" s="660" t="s">
        <v>31</v>
      </c>
      <c r="D51" s="660"/>
      <c r="E51" s="27">
        <v>56.43</v>
      </c>
      <c r="F51" s="30">
        <v>1015</v>
      </c>
      <c r="G51" s="438">
        <f t="shared" si="35"/>
        <v>57276.45</v>
      </c>
      <c r="H51" s="31" t="s">
        <v>40</v>
      </c>
      <c r="I51" s="445">
        <v>22</v>
      </c>
      <c r="J51" s="29">
        <v>2000</v>
      </c>
      <c r="K51" s="12">
        <f t="shared" si="1"/>
        <v>90.909090909090907</v>
      </c>
      <c r="L51" s="445">
        <v>22</v>
      </c>
      <c r="M51" s="13">
        <f>F51/V51*60</f>
        <v>1903.125000000002</v>
      </c>
      <c r="N51" s="13">
        <f t="shared" si="3"/>
        <v>86.505681818181912</v>
      </c>
      <c r="O51" s="14">
        <f t="shared" si="4"/>
        <v>0</v>
      </c>
      <c r="P51" s="15">
        <f t="shared" si="5"/>
        <v>-4.403409090908994</v>
      </c>
      <c r="Q51" s="443">
        <f t="shared" si="6"/>
        <v>0.95156250000000109</v>
      </c>
      <c r="R51" s="616"/>
      <c r="S51" s="32">
        <v>0.24305555555555558</v>
      </c>
      <c r="T51" s="32">
        <v>0.26527777777777778</v>
      </c>
      <c r="U51" s="438">
        <f t="shared" ref="U51:U58" si="38">IF(S51=TIME(17,0,0),"",(S51-T50)*24*60)</f>
        <v>7.0000000000000151</v>
      </c>
      <c r="V51" s="446">
        <f t="shared" si="37"/>
        <v>31.999999999999964</v>
      </c>
      <c r="W51" s="16"/>
      <c r="X51" s="16"/>
      <c r="Y51" s="16"/>
      <c r="Z51" s="16"/>
      <c r="AA51" s="612"/>
      <c r="AB51" s="612"/>
      <c r="AC51" s="18"/>
      <c r="AD51" s="18"/>
      <c r="AE51" s="14">
        <f t="shared" si="8"/>
        <v>-96.874999999997954</v>
      </c>
      <c r="AF51" s="443">
        <f t="shared" si="9"/>
        <v>0.95156250000000098</v>
      </c>
      <c r="AG51" s="616"/>
    </row>
    <row r="52" spans="1:33" ht="15.75" customHeight="1">
      <c r="A52" s="621" t="s">
        <v>2330</v>
      </c>
      <c r="B52" s="27" t="s">
        <v>5</v>
      </c>
      <c r="C52" s="605" t="s">
        <v>81</v>
      </c>
      <c r="D52" s="606"/>
      <c r="E52" s="27">
        <v>51.44</v>
      </c>
      <c r="F52" s="30">
        <v>1408</v>
      </c>
      <c r="G52" s="438">
        <f t="shared" si="35"/>
        <v>72427.51999999999</v>
      </c>
      <c r="H52" s="31" t="s">
        <v>40</v>
      </c>
      <c r="I52" s="445">
        <v>25</v>
      </c>
      <c r="J52" s="29">
        <v>2000</v>
      </c>
      <c r="K52" s="12">
        <f t="shared" si="1"/>
        <v>80</v>
      </c>
      <c r="L52" s="445">
        <v>25</v>
      </c>
      <c r="M52" s="13">
        <f t="shared" ref="M52:M58" si="39">F52/V52*60</f>
        <v>1920</v>
      </c>
      <c r="N52" s="13">
        <f t="shared" si="3"/>
        <v>76.8</v>
      </c>
      <c r="O52" s="14">
        <f t="shared" si="4"/>
        <v>0</v>
      </c>
      <c r="P52" s="15">
        <f t="shared" si="5"/>
        <v>-3.2000000000000028</v>
      </c>
      <c r="Q52" s="443">
        <f t="shared" si="6"/>
        <v>0.96</v>
      </c>
      <c r="R52" s="616"/>
      <c r="S52" s="32">
        <v>0.26944444444444443</v>
      </c>
      <c r="T52" s="32">
        <v>0.3</v>
      </c>
      <c r="U52" s="438">
        <f t="shared" si="38"/>
        <v>5.9999999999999787</v>
      </c>
      <c r="V52" s="446">
        <f t="shared" si="37"/>
        <v>44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-80</v>
      </c>
      <c r="AF52" s="443">
        <f t="shared" si="9"/>
        <v>0.96</v>
      </c>
      <c r="AG52" s="616"/>
    </row>
    <row r="53" spans="1:33" ht="15.75" customHeight="1">
      <c r="A53" s="621" t="s">
        <v>2330</v>
      </c>
      <c r="B53" s="27" t="s">
        <v>8</v>
      </c>
      <c r="C53" s="439" t="s">
        <v>61</v>
      </c>
      <c r="D53" s="440"/>
      <c r="E53" s="27">
        <v>46</v>
      </c>
      <c r="F53" s="30">
        <v>1482</v>
      </c>
      <c r="G53" s="438">
        <f t="shared" si="35"/>
        <v>68172</v>
      </c>
      <c r="H53" s="31" t="s">
        <v>40</v>
      </c>
      <c r="I53" s="445">
        <v>16</v>
      </c>
      <c r="J53" s="29">
        <v>2000</v>
      </c>
      <c r="K53" s="12">
        <f t="shared" si="1"/>
        <v>125</v>
      </c>
      <c r="L53" s="445">
        <v>16</v>
      </c>
      <c r="M53" s="13">
        <f t="shared" si="39"/>
        <v>1933.0434782608697</v>
      </c>
      <c r="N53" s="13">
        <f t="shared" si="3"/>
        <v>120.81521739130436</v>
      </c>
      <c r="O53" s="14">
        <f t="shared" si="4"/>
        <v>0</v>
      </c>
      <c r="P53" s="15">
        <f t="shared" si="5"/>
        <v>-4.1847826086956417</v>
      </c>
      <c r="Q53" s="443">
        <f t="shared" si="6"/>
        <v>0.96652173913043482</v>
      </c>
      <c r="R53" s="616"/>
      <c r="S53" s="32">
        <v>0.30555555555555552</v>
      </c>
      <c r="T53" s="32">
        <v>0.33749999999999997</v>
      </c>
      <c r="U53" s="438">
        <f t="shared" si="38"/>
        <v>7.9999999999999716</v>
      </c>
      <c r="V53" s="446">
        <f t="shared" si="37"/>
        <v>46</v>
      </c>
      <c r="W53" s="16"/>
      <c r="X53" s="16"/>
      <c r="Y53" s="19"/>
      <c r="Z53" s="19"/>
      <c r="AA53" s="612"/>
      <c r="AB53" s="612"/>
      <c r="AC53" s="18"/>
      <c r="AD53" s="18"/>
      <c r="AE53" s="14">
        <f t="shared" si="8"/>
        <v>-66.956521739130267</v>
      </c>
      <c r="AF53" s="443">
        <f t="shared" si="9"/>
        <v>0.96652173913043482</v>
      </c>
      <c r="AG53" s="616"/>
    </row>
    <row r="54" spans="1:33" ht="15.75" customHeight="1">
      <c r="A54" s="621" t="s">
        <v>2330</v>
      </c>
      <c r="B54" s="27" t="s">
        <v>8</v>
      </c>
      <c r="C54" s="439" t="s">
        <v>79</v>
      </c>
      <c r="D54" s="440"/>
      <c r="E54" s="27">
        <v>46</v>
      </c>
      <c r="F54" s="30">
        <v>1915</v>
      </c>
      <c r="G54" s="438">
        <f t="shared" si="35"/>
        <v>88090</v>
      </c>
      <c r="H54" s="31" t="s">
        <v>40</v>
      </c>
      <c r="I54" s="445">
        <v>17</v>
      </c>
      <c r="J54" s="29">
        <v>2000</v>
      </c>
      <c r="K54" s="12">
        <f t="shared" si="1"/>
        <v>117.64705882352941</v>
      </c>
      <c r="L54" s="445">
        <v>17</v>
      </c>
      <c r="M54" s="13">
        <f t="shared" si="39"/>
        <v>1914.9999999999991</v>
      </c>
      <c r="N54" s="13">
        <f t="shared" si="3"/>
        <v>112.64705882352936</v>
      </c>
      <c r="O54" s="14">
        <f t="shared" si="4"/>
        <v>0</v>
      </c>
      <c r="P54" s="15">
        <f t="shared" si="5"/>
        <v>-5.0000000000000426</v>
      </c>
      <c r="Q54" s="443">
        <f t="shared" si="6"/>
        <v>0.95749999999999968</v>
      </c>
      <c r="R54" s="616"/>
      <c r="S54" s="32">
        <v>0.3430555555555555</v>
      </c>
      <c r="T54" s="32">
        <v>0.38472222222222219</v>
      </c>
      <c r="U54" s="438">
        <f t="shared" si="38"/>
        <v>7.9999999999999716</v>
      </c>
      <c r="V54" s="446">
        <f t="shared" si="37"/>
        <v>60.000000000000028</v>
      </c>
      <c r="W54" s="16"/>
      <c r="X54" s="16"/>
      <c r="Y54" s="19"/>
      <c r="Z54" s="19"/>
      <c r="AA54" s="612"/>
      <c r="AB54" s="612"/>
      <c r="AC54" s="18"/>
      <c r="AD54" s="18"/>
      <c r="AE54" s="14">
        <f t="shared" si="8"/>
        <v>-85.000000000000909</v>
      </c>
      <c r="AF54" s="443">
        <f t="shared" si="9"/>
        <v>0.95749999999999957</v>
      </c>
      <c r="AG54" s="616"/>
    </row>
    <row r="55" spans="1:33" ht="15.75" customHeight="1">
      <c r="A55" s="621" t="s">
        <v>2330</v>
      </c>
      <c r="B55" s="27" t="s">
        <v>5</v>
      </c>
      <c r="C55" s="605" t="s">
        <v>32</v>
      </c>
      <c r="D55" s="606"/>
      <c r="E55" s="27">
        <v>55.56</v>
      </c>
      <c r="F55" s="30">
        <v>1000</v>
      </c>
      <c r="G55" s="438">
        <f t="shared" si="35"/>
        <v>55560</v>
      </c>
      <c r="H55" s="31">
        <v>2</v>
      </c>
      <c r="I55" s="445">
        <v>17</v>
      </c>
      <c r="J55" s="29">
        <v>2000</v>
      </c>
      <c r="K55" s="12">
        <f t="shared" si="1"/>
        <v>117.64705882352941</v>
      </c>
      <c r="L55" s="445">
        <v>17</v>
      </c>
      <c r="M55" s="13">
        <f t="shared" si="39"/>
        <v>1935.483870967739</v>
      </c>
      <c r="N55" s="13">
        <f t="shared" si="3"/>
        <v>113.85199240986699</v>
      </c>
      <c r="O55" s="14">
        <f t="shared" si="4"/>
        <v>0</v>
      </c>
      <c r="P55" s="15">
        <f t="shared" si="5"/>
        <v>-3.7950664136624113</v>
      </c>
      <c r="Q55" s="443">
        <f t="shared" si="6"/>
        <v>0.96774193548386955</v>
      </c>
      <c r="R55" s="616"/>
      <c r="S55" s="32">
        <v>0.70833333333333337</v>
      </c>
      <c r="T55" s="32">
        <v>0.72986111111111118</v>
      </c>
      <c r="U55" s="438" t="str">
        <f t="shared" si="38"/>
        <v/>
      </c>
      <c r="V55" s="446">
        <f t="shared" si="37"/>
        <v>31.00000000000005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-64.516129032261006</v>
      </c>
      <c r="AF55" s="443">
        <f t="shared" si="9"/>
        <v>0.96774193548386944</v>
      </c>
      <c r="AG55" s="616"/>
    </row>
    <row r="56" spans="1:33" ht="15.75" customHeight="1">
      <c r="A56" s="621" t="s">
        <v>2330</v>
      </c>
      <c r="B56" s="27" t="s">
        <v>5</v>
      </c>
      <c r="C56" s="605" t="s">
        <v>77</v>
      </c>
      <c r="D56" s="606"/>
      <c r="E56" s="27">
        <v>54.09</v>
      </c>
      <c r="F56" s="30">
        <v>976</v>
      </c>
      <c r="G56" s="438">
        <f t="shared" si="35"/>
        <v>52791.840000000004</v>
      </c>
      <c r="H56" s="31" t="s">
        <v>40</v>
      </c>
      <c r="I56" s="445">
        <v>13</v>
      </c>
      <c r="J56" s="29">
        <v>2000</v>
      </c>
      <c r="K56" s="12">
        <f t="shared" si="1"/>
        <v>153.84615384615384</v>
      </c>
      <c r="L56" s="445">
        <v>13</v>
      </c>
      <c r="M56" s="13">
        <f t="shared" si="39"/>
        <v>1951.9999999999964</v>
      </c>
      <c r="N56" s="13">
        <f t="shared" si="3"/>
        <v>150.15384615384588</v>
      </c>
      <c r="O56" s="14">
        <f t="shared" si="4"/>
        <v>0</v>
      </c>
      <c r="P56" s="15">
        <f t="shared" si="5"/>
        <v>-3.6923076923079634</v>
      </c>
      <c r="Q56" s="443">
        <f t="shared" si="6"/>
        <v>0.9759999999999982</v>
      </c>
      <c r="R56" s="616"/>
      <c r="S56" s="32">
        <v>0.73541666666666672</v>
      </c>
      <c r="T56" s="32">
        <v>0.75625000000000009</v>
      </c>
      <c r="U56" s="438">
        <f t="shared" si="38"/>
        <v>7.9999999999999716</v>
      </c>
      <c r="V56" s="446">
        <f t="shared" si="37"/>
        <v>30.000000000000053</v>
      </c>
      <c r="W56" s="16"/>
      <c r="X56" s="16"/>
      <c r="Y56" s="19"/>
      <c r="Z56" s="19"/>
      <c r="AA56" s="607"/>
      <c r="AB56" s="608"/>
      <c r="AC56" s="18"/>
      <c r="AD56" s="18"/>
      <c r="AE56" s="14">
        <f t="shared" si="8"/>
        <v>-48.000000000003638</v>
      </c>
      <c r="AF56" s="443">
        <f t="shared" si="9"/>
        <v>0.9759999999999982</v>
      </c>
      <c r="AG56" s="616"/>
    </row>
    <row r="57" spans="1:33" ht="15.75" customHeight="1">
      <c r="A57" s="621" t="s">
        <v>2330</v>
      </c>
      <c r="B57" s="27" t="s">
        <v>5</v>
      </c>
      <c r="C57" s="605" t="s">
        <v>62</v>
      </c>
      <c r="D57" s="606"/>
      <c r="E57" s="27">
        <v>51.06</v>
      </c>
      <c r="F57" s="30">
        <v>3115</v>
      </c>
      <c r="G57" s="438">
        <f t="shared" si="35"/>
        <v>159051.9</v>
      </c>
      <c r="H57" s="31" t="s">
        <v>40</v>
      </c>
      <c r="I57" s="445">
        <v>13</v>
      </c>
      <c r="J57" s="29">
        <v>2000</v>
      </c>
      <c r="K57" s="12">
        <f t="shared" si="1"/>
        <v>153.84615384615384</v>
      </c>
      <c r="L57" s="445">
        <v>13</v>
      </c>
      <c r="M57" s="13">
        <f t="shared" si="39"/>
        <v>1907.1428571428578</v>
      </c>
      <c r="N57" s="13">
        <f t="shared" si="3"/>
        <v>146.70329670329676</v>
      </c>
      <c r="O57" s="14">
        <f t="shared" si="4"/>
        <v>0</v>
      </c>
      <c r="P57" s="15">
        <f t="shared" si="5"/>
        <v>-7.142857142857082</v>
      </c>
      <c r="Q57" s="443">
        <f t="shared" si="6"/>
        <v>0.95357142857142896</v>
      </c>
      <c r="R57" s="616"/>
      <c r="S57" s="32">
        <v>0.76180555555555562</v>
      </c>
      <c r="T57" s="32">
        <v>0.82986111111111116</v>
      </c>
      <c r="U57" s="438">
        <f t="shared" si="38"/>
        <v>7.9999999999999716</v>
      </c>
      <c r="V57" s="446">
        <f t="shared" si="37"/>
        <v>97.999999999999972</v>
      </c>
      <c r="W57" s="16">
        <f>T57</f>
        <v>0.82986111111111116</v>
      </c>
      <c r="X57" s="16">
        <f>S58</f>
        <v>0.86805555555555558</v>
      </c>
      <c r="Y57" s="19"/>
      <c r="Z57" s="19"/>
      <c r="AA57" s="607"/>
      <c r="AB57" s="608"/>
      <c r="AC57" s="18"/>
      <c r="AD57" s="18"/>
      <c r="AE57" s="14">
        <f t="shared" si="8"/>
        <v>-92.857142857142208</v>
      </c>
      <c r="AF57" s="443">
        <f t="shared" si="9"/>
        <v>0.95357142857142885</v>
      </c>
      <c r="AG57" s="616"/>
    </row>
    <row r="58" spans="1:33">
      <c r="A58" s="621" t="s">
        <v>2330</v>
      </c>
      <c r="B58" s="27" t="s">
        <v>5</v>
      </c>
      <c r="C58" s="439" t="s">
        <v>32</v>
      </c>
      <c r="D58" s="440"/>
      <c r="E58" s="27">
        <v>55.56</v>
      </c>
      <c r="F58" s="30">
        <v>2533</v>
      </c>
      <c r="G58" s="438">
        <f t="shared" si="35"/>
        <v>140733.48000000001</v>
      </c>
      <c r="H58" s="31" t="s">
        <v>40</v>
      </c>
      <c r="I58" s="445">
        <v>17</v>
      </c>
      <c r="J58" s="29">
        <v>2000</v>
      </c>
      <c r="K58" s="12">
        <f t="shared" si="1"/>
        <v>117.64705882352941</v>
      </c>
      <c r="L58" s="445">
        <v>17</v>
      </c>
      <c r="M58" s="13">
        <f t="shared" si="39"/>
        <v>1923.7974683544294</v>
      </c>
      <c r="N58" s="13">
        <f t="shared" si="3"/>
        <v>113.16455696202526</v>
      </c>
      <c r="O58" s="14">
        <f t="shared" si="4"/>
        <v>0</v>
      </c>
      <c r="P58" s="15">
        <f t="shared" si="5"/>
        <v>-4.4825018615041472</v>
      </c>
      <c r="Q58" s="443">
        <f t="shared" si="6"/>
        <v>0.96189873417721472</v>
      </c>
      <c r="R58" s="616"/>
      <c r="S58" s="32">
        <v>0.86805555555555558</v>
      </c>
      <c r="T58" s="32">
        <v>0.92291666666666672</v>
      </c>
      <c r="U58" s="438">
        <f t="shared" si="38"/>
        <v>54.999999999999964</v>
      </c>
      <c r="V58" s="446">
        <f t="shared" si="37"/>
        <v>79.000000000000043</v>
      </c>
      <c r="W58" s="16"/>
      <c r="X58" s="16"/>
      <c r="Y58" s="19"/>
      <c r="Z58" s="19"/>
      <c r="AA58" s="441"/>
      <c r="AB58" s="442"/>
      <c r="AC58" s="18"/>
      <c r="AD58" s="18"/>
      <c r="AE58" s="14">
        <f t="shared" si="8"/>
        <v>-76.202531645570616</v>
      </c>
      <c r="AF58" s="443">
        <f t="shared" si="9"/>
        <v>0.96189873417721472</v>
      </c>
      <c r="AG58" s="616"/>
    </row>
    <row r="59" spans="1:33">
      <c r="A59" s="622" t="s">
        <v>2330</v>
      </c>
      <c r="B59" s="27" t="s">
        <v>2319</v>
      </c>
      <c r="C59" s="658"/>
      <c r="D59" s="658"/>
      <c r="E59" s="444"/>
      <c r="F59" s="28"/>
      <c r="G59" s="12"/>
      <c r="H59" s="447"/>
      <c r="I59" s="21">
        <v>17.666666666666668</v>
      </c>
      <c r="J59" s="29">
        <v>2000</v>
      </c>
      <c r="K59" s="12">
        <f t="shared" si="1"/>
        <v>113.20754716981131</v>
      </c>
      <c r="L59" s="21">
        <v>17.666666666666668</v>
      </c>
      <c r="M59" s="13">
        <f>AVERAGE(M50:M58)</f>
        <v>1922.3578424114046</v>
      </c>
      <c r="N59" s="12">
        <f t="shared" si="3"/>
        <v>108.81270806102289</v>
      </c>
      <c r="O59" s="14">
        <f t="shared" si="4"/>
        <v>0</v>
      </c>
      <c r="P59" s="15">
        <f t="shared" si="5"/>
        <v>-4.3948391087884175</v>
      </c>
      <c r="Q59" s="443">
        <f t="shared" si="6"/>
        <v>0.96117892120570225</v>
      </c>
      <c r="R59" s="616"/>
      <c r="S59" s="32"/>
      <c r="T59" s="32"/>
      <c r="U59" s="438"/>
      <c r="V59" s="446"/>
      <c r="W59" s="12"/>
      <c r="X59" s="12"/>
      <c r="Y59" s="22">
        <f>SUM(Y50:Y58)</f>
        <v>0</v>
      </c>
      <c r="Z59" s="22">
        <f>SUM(Z50:Z58)</f>
        <v>0</v>
      </c>
      <c r="AA59" s="611"/>
      <c r="AB59" s="611"/>
      <c r="AC59" s="22">
        <v>9</v>
      </c>
      <c r="AD59" s="22">
        <f>SUM(AD50:AD58)</f>
        <v>0</v>
      </c>
      <c r="AE59" s="14">
        <f>M59-J59</f>
        <v>-77.64215758859541</v>
      </c>
      <c r="AF59" s="443">
        <f t="shared" si="9"/>
        <v>0.96117892120570225</v>
      </c>
      <c r="AG59" s="616"/>
    </row>
    <row r="60" spans="1:33" ht="15.75" customHeight="1">
      <c r="A60" s="617" t="s">
        <v>2331</v>
      </c>
      <c r="B60" s="447" t="s">
        <v>27</v>
      </c>
      <c r="C60" s="660" t="s">
        <v>28</v>
      </c>
      <c r="D60" s="660"/>
      <c r="E60" s="27">
        <v>35.119999999999997</v>
      </c>
      <c r="F60" s="30">
        <v>3929</v>
      </c>
      <c r="G60" s="438">
        <f t="shared" ref="G60:G63" si="40">E60*F60</f>
        <v>137986.47999999998</v>
      </c>
      <c r="H60" s="31" t="s">
        <v>40</v>
      </c>
      <c r="I60" s="445">
        <v>10</v>
      </c>
      <c r="J60" s="29">
        <v>3000</v>
      </c>
      <c r="K60" s="12">
        <f t="shared" si="1"/>
        <v>300</v>
      </c>
      <c r="L60" s="445">
        <v>10</v>
      </c>
      <c r="M60" s="13">
        <f t="shared" ref="M60:M63" si="41">F60/V60*60</f>
        <v>2874.8780487804884</v>
      </c>
      <c r="N60" s="12">
        <f t="shared" si="3"/>
        <v>287.48780487804885</v>
      </c>
      <c r="O60" s="14">
        <f t="shared" si="4"/>
        <v>0</v>
      </c>
      <c r="P60" s="15">
        <f t="shared" si="5"/>
        <v>-12.512195121951152</v>
      </c>
      <c r="Q60" s="443">
        <f t="shared" si="6"/>
        <v>0.95829268292682945</v>
      </c>
      <c r="R60" s="616">
        <f>Q64</f>
        <v>0.96474907612712457</v>
      </c>
      <c r="S60" s="32">
        <v>0.20833333333333334</v>
      </c>
      <c r="T60" s="32">
        <v>0.26527777777777778</v>
      </c>
      <c r="U60" s="438"/>
      <c r="V60" s="446">
        <f t="shared" ref="V60:V63" si="42">(T60-S60)*24*60</f>
        <v>81.999999999999986</v>
      </c>
      <c r="W60" s="16"/>
      <c r="X60" s="16"/>
      <c r="Y60" s="20"/>
      <c r="Z60" s="20"/>
      <c r="AA60" s="612"/>
      <c r="AB60" s="612"/>
      <c r="AC60" s="18">
        <v>4</v>
      </c>
      <c r="AD60" s="18"/>
      <c r="AE60" s="14">
        <f t="shared" ref="AE60:AE71" si="43">M60-J60</f>
        <v>-125.12195121951163</v>
      </c>
      <c r="AF60" s="443">
        <f t="shared" si="9"/>
        <v>0.95829268292682945</v>
      </c>
      <c r="AG60" s="616">
        <f>AF64</f>
        <v>0.96474907612712457</v>
      </c>
    </row>
    <row r="61" spans="1:33" ht="15.75" customHeight="1">
      <c r="A61" s="617" t="s">
        <v>2331</v>
      </c>
      <c r="B61" s="447" t="s">
        <v>27</v>
      </c>
      <c r="C61" s="660" t="s">
        <v>34</v>
      </c>
      <c r="D61" s="660"/>
      <c r="E61" s="27">
        <v>26.78</v>
      </c>
      <c r="F61" s="30">
        <v>2128</v>
      </c>
      <c r="G61" s="438">
        <f t="shared" si="40"/>
        <v>56987.840000000004</v>
      </c>
      <c r="H61" s="31" t="s">
        <v>40</v>
      </c>
      <c r="I61" s="445">
        <v>10</v>
      </c>
      <c r="J61" s="29">
        <v>3000</v>
      </c>
      <c r="K61" s="12">
        <f t="shared" si="1"/>
        <v>300</v>
      </c>
      <c r="L61" s="445">
        <v>10</v>
      </c>
      <c r="M61" s="13">
        <f t="shared" si="41"/>
        <v>2901.818181818182</v>
      </c>
      <c r="N61" s="12">
        <f t="shared" si="3"/>
        <v>290.18181818181819</v>
      </c>
      <c r="O61" s="14">
        <f t="shared" si="4"/>
        <v>0</v>
      </c>
      <c r="P61" s="15">
        <f t="shared" si="5"/>
        <v>-9.818181818181813</v>
      </c>
      <c r="Q61" s="443">
        <f t="shared" si="6"/>
        <v>0.96727272727272728</v>
      </c>
      <c r="R61" s="616"/>
      <c r="S61" s="32">
        <v>0.27013888888888887</v>
      </c>
      <c r="T61" s="32">
        <v>0.30069444444444443</v>
      </c>
      <c r="U61" s="438">
        <f t="shared" ref="U61:U63" si="44">(S61-T60)*24*60</f>
        <v>6.9999999999999751</v>
      </c>
      <c r="V61" s="446">
        <f t="shared" si="42"/>
        <v>44</v>
      </c>
      <c r="W61" s="438"/>
      <c r="X61" s="438"/>
      <c r="Y61" s="438"/>
      <c r="Z61" s="438"/>
      <c r="AA61" s="612"/>
      <c r="AB61" s="612"/>
      <c r="AC61" s="18"/>
      <c r="AD61" s="18"/>
      <c r="AE61" s="14">
        <f t="shared" si="43"/>
        <v>-98.181818181818016</v>
      </c>
      <c r="AF61" s="443">
        <f t="shared" si="9"/>
        <v>0.96727272727272728</v>
      </c>
      <c r="AG61" s="616"/>
    </row>
    <row r="62" spans="1:33" ht="15.75" customHeight="1">
      <c r="A62" s="617" t="s">
        <v>2331</v>
      </c>
      <c r="B62" s="447" t="s">
        <v>27</v>
      </c>
      <c r="C62" s="660" t="s">
        <v>36</v>
      </c>
      <c r="D62" s="660"/>
      <c r="E62" s="27">
        <v>34.35</v>
      </c>
      <c r="F62" s="30">
        <v>733</v>
      </c>
      <c r="G62" s="438">
        <f t="shared" si="40"/>
        <v>25178.55</v>
      </c>
      <c r="H62" s="31" t="s">
        <v>40</v>
      </c>
      <c r="I62" s="445">
        <v>8</v>
      </c>
      <c r="J62" s="29">
        <v>3000</v>
      </c>
      <c r="K62" s="12">
        <f t="shared" si="1"/>
        <v>375</v>
      </c>
      <c r="L62" s="445">
        <v>8</v>
      </c>
      <c r="M62" s="13">
        <f t="shared" si="41"/>
        <v>2931.999999999995</v>
      </c>
      <c r="N62" s="12">
        <f t="shared" si="3"/>
        <v>366.49999999999937</v>
      </c>
      <c r="O62" s="14">
        <f t="shared" si="4"/>
        <v>0</v>
      </c>
      <c r="P62" s="15">
        <f t="shared" si="5"/>
        <v>-8.5000000000006253</v>
      </c>
      <c r="Q62" s="443">
        <f t="shared" si="6"/>
        <v>0.97733333333333161</v>
      </c>
      <c r="R62" s="616"/>
      <c r="S62" s="32">
        <v>0.30555555555555552</v>
      </c>
      <c r="T62" s="32">
        <v>0.31597222222222221</v>
      </c>
      <c r="U62" s="438">
        <f t="shared" si="44"/>
        <v>6.9999999999999751</v>
      </c>
      <c r="V62" s="446">
        <f t="shared" si="42"/>
        <v>15.000000000000027</v>
      </c>
      <c r="W62" s="438"/>
      <c r="X62" s="438"/>
      <c r="Y62" s="438"/>
      <c r="Z62" s="438"/>
      <c r="AA62" s="612"/>
      <c r="AB62" s="612"/>
      <c r="AC62" s="18"/>
      <c r="AD62" s="18"/>
      <c r="AE62" s="14">
        <f t="shared" si="43"/>
        <v>-68.000000000005002</v>
      </c>
      <c r="AF62" s="443">
        <f t="shared" si="9"/>
        <v>0.97733333333333161</v>
      </c>
      <c r="AG62" s="616"/>
    </row>
    <row r="63" spans="1:33" ht="15.75" customHeight="1">
      <c r="A63" s="617" t="s">
        <v>2331</v>
      </c>
      <c r="B63" s="447" t="s">
        <v>27</v>
      </c>
      <c r="C63" s="660" t="s">
        <v>737</v>
      </c>
      <c r="D63" s="660"/>
      <c r="E63" s="27">
        <v>36.14</v>
      </c>
      <c r="F63" s="30">
        <v>1960</v>
      </c>
      <c r="G63" s="438">
        <f t="shared" si="40"/>
        <v>70834.399999999994</v>
      </c>
      <c r="H63" s="31" t="s">
        <v>40</v>
      </c>
      <c r="I63" s="445">
        <v>11</v>
      </c>
      <c r="J63" s="29">
        <v>3000</v>
      </c>
      <c r="K63" s="12">
        <f t="shared" si="1"/>
        <v>272.72727272727275</v>
      </c>
      <c r="L63" s="445">
        <v>11</v>
      </c>
      <c r="M63" s="13">
        <f t="shared" si="41"/>
        <v>2868.2926829268285</v>
      </c>
      <c r="N63" s="12">
        <f t="shared" si="3"/>
        <v>260.75388026607533</v>
      </c>
      <c r="O63" s="14">
        <f t="shared" si="4"/>
        <v>0</v>
      </c>
      <c r="P63" s="15">
        <f t="shared" si="5"/>
        <v>-11.97339246119742</v>
      </c>
      <c r="Q63" s="443">
        <f t="shared" si="6"/>
        <v>0.9560975609756095</v>
      </c>
      <c r="R63" s="616"/>
      <c r="S63" s="32">
        <v>0.32013888888888886</v>
      </c>
      <c r="T63" s="32">
        <v>0.34861111111111109</v>
      </c>
      <c r="U63" s="438">
        <f t="shared" si="44"/>
        <v>5.9999999999999787</v>
      </c>
      <c r="V63" s="446">
        <f t="shared" si="42"/>
        <v>41.000000000000014</v>
      </c>
      <c r="W63" s="438"/>
      <c r="X63" s="438"/>
      <c r="Y63" s="438"/>
      <c r="Z63" s="438"/>
      <c r="AA63" s="612"/>
      <c r="AB63" s="612"/>
      <c r="AC63" s="18"/>
      <c r="AD63" s="18"/>
      <c r="AE63" s="14">
        <f t="shared" si="43"/>
        <v>-131.70731707317145</v>
      </c>
      <c r="AF63" s="443">
        <f t="shared" si="9"/>
        <v>0.9560975609756095</v>
      </c>
      <c r="AG63" s="616"/>
    </row>
    <row r="64" spans="1:33">
      <c r="A64" s="618" t="s">
        <v>2331</v>
      </c>
      <c r="B64" s="27" t="s">
        <v>2319</v>
      </c>
      <c r="C64" s="658"/>
      <c r="D64" s="658"/>
      <c r="E64" s="444"/>
      <c r="F64" s="28"/>
      <c r="G64" s="12"/>
      <c r="H64" s="447"/>
      <c r="I64" s="21">
        <v>9.75</v>
      </c>
      <c r="J64" s="29">
        <v>3000</v>
      </c>
      <c r="K64" s="12">
        <f t="shared" si="1"/>
        <v>307.69230769230768</v>
      </c>
      <c r="L64" s="21">
        <v>9.75</v>
      </c>
      <c r="M64" s="13">
        <f>AVERAGE(M60:M63)</f>
        <v>2894.2472283813736</v>
      </c>
      <c r="N64" s="12">
        <f t="shared" si="3"/>
        <v>296.84586957757676</v>
      </c>
      <c r="O64" s="14">
        <f t="shared" si="4"/>
        <v>0</v>
      </c>
      <c r="P64" s="15">
        <f t="shared" si="5"/>
        <v>-10.846438114730915</v>
      </c>
      <c r="Q64" s="443">
        <f t="shared" si="6"/>
        <v>0.96474907612712457</v>
      </c>
      <c r="R64" s="616"/>
      <c r="S64" s="32"/>
      <c r="T64" s="32"/>
      <c r="U64" s="12"/>
      <c r="V64" s="446"/>
      <c r="W64" s="12"/>
      <c r="X64" s="12"/>
      <c r="Y64" s="22">
        <f>SUM(Y60:Y63)</f>
        <v>0</v>
      </c>
      <c r="Z64" s="22">
        <f>SUM(Z60:Z63)</f>
        <v>0</v>
      </c>
      <c r="AA64" s="611"/>
      <c r="AB64" s="611"/>
      <c r="AC64" s="22">
        <v>4</v>
      </c>
      <c r="AD64" s="22">
        <f>SUM(AD60:AD63)</f>
        <v>0</v>
      </c>
      <c r="AE64" s="14">
        <f t="shared" si="43"/>
        <v>-105.75277161862641</v>
      </c>
      <c r="AF64" s="443">
        <f t="shared" si="9"/>
        <v>0.96474907612712457</v>
      </c>
      <c r="AG64" s="616"/>
    </row>
    <row r="65" spans="1:33" ht="15.75" customHeight="1">
      <c r="A65" s="613" t="s">
        <v>2332</v>
      </c>
      <c r="B65" s="447" t="s">
        <v>20</v>
      </c>
      <c r="C65" s="660" t="s">
        <v>39</v>
      </c>
      <c r="D65" s="660"/>
      <c r="E65" s="27">
        <v>19.02</v>
      </c>
      <c r="F65" s="447">
        <v>4700</v>
      </c>
      <c r="G65" s="438">
        <f t="shared" ref="G65:G70" si="45">E65*F65</f>
        <v>89394</v>
      </c>
      <c r="H65" s="31">
        <v>2</v>
      </c>
      <c r="I65" s="445">
        <v>14</v>
      </c>
      <c r="J65" s="29">
        <v>2400</v>
      </c>
      <c r="K65" s="12">
        <f t="shared" si="1"/>
        <v>171.42857142857142</v>
      </c>
      <c r="L65" s="445">
        <v>14</v>
      </c>
      <c r="M65" s="13">
        <f t="shared" ref="M65:M70" si="46">F65/V65*60</f>
        <v>2292.6829268292686</v>
      </c>
      <c r="N65" s="12">
        <f t="shared" si="3"/>
        <v>163.76306620209061</v>
      </c>
      <c r="O65" s="14">
        <f t="shared" si="4"/>
        <v>0</v>
      </c>
      <c r="P65" s="15">
        <f t="shared" si="5"/>
        <v>-7.6655052264808035</v>
      </c>
      <c r="Q65" s="443">
        <f t="shared" si="6"/>
        <v>0.9552845528455286</v>
      </c>
      <c r="R65" s="616">
        <f>Q71</f>
        <v>0.9564872957152597</v>
      </c>
      <c r="S65" s="32">
        <v>8.3333333333333329E-2</v>
      </c>
      <c r="T65" s="32">
        <v>0.16874999999999998</v>
      </c>
      <c r="U65" s="20"/>
      <c r="V65" s="446">
        <f t="shared" ref="V65:V70" si="47">(T65-S65)*24*60</f>
        <v>122.99999999999999</v>
      </c>
      <c r="W65" s="16">
        <f>T65</f>
        <v>0.16874999999999998</v>
      </c>
      <c r="X65" s="16">
        <f>S66</f>
        <v>0.18680555555555553</v>
      </c>
      <c r="Y65" s="16"/>
      <c r="Z65" s="16"/>
      <c r="AA65" s="612"/>
      <c r="AB65" s="612"/>
      <c r="AC65" s="18">
        <v>6</v>
      </c>
      <c r="AD65" s="18"/>
      <c r="AE65" s="14">
        <f t="shared" si="43"/>
        <v>-107.31707317073142</v>
      </c>
      <c r="AF65" s="443">
        <f t="shared" si="9"/>
        <v>0.9552845528455286</v>
      </c>
      <c r="AG65" s="616">
        <f>AF71</f>
        <v>0.95648729571525981</v>
      </c>
    </row>
    <row r="66" spans="1:33" ht="15.75" customHeight="1">
      <c r="A66" s="614" t="s">
        <v>2332</v>
      </c>
      <c r="B66" s="447" t="s">
        <v>20</v>
      </c>
      <c r="C66" s="660" t="s">
        <v>24</v>
      </c>
      <c r="D66" s="660"/>
      <c r="E66" s="27">
        <v>20.36</v>
      </c>
      <c r="F66" s="447">
        <v>3284</v>
      </c>
      <c r="G66" s="438">
        <f t="shared" si="45"/>
        <v>66862.240000000005</v>
      </c>
      <c r="H66" s="31" t="s">
        <v>40</v>
      </c>
      <c r="I66" s="445">
        <v>17</v>
      </c>
      <c r="J66" s="29">
        <v>2400</v>
      </c>
      <c r="K66" s="12">
        <f t="shared" si="1"/>
        <v>141.1764705882353</v>
      </c>
      <c r="L66" s="445">
        <v>17</v>
      </c>
      <c r="M66" s="13">
        <f t="shared" si="46"/>
        <v>2291.1627906976742</v>
      </c>
      <c r="N66" s="12">
        <f t="shared" si="3"/>
        <v>134.77428180574555</v>
      </c>
      <c r="O66" s="14">
        <f t="shared" si="4"/>
        <v>0</v>
      </c>
      <c r="P66" s="15">
        <f t="shared" si="5"/>
        <v>-6.402188782489759</v>
      </c>
      <c r="Q66" s="443">
        <f t="shared" si="6"/>
        <v>0.95465116279069751</v>
      </c>
      <c r="R66" s="616"/>
      <c r="S66" s="32">
        <v>0.18680555555555553</v>
      </c>
      <c r="T66" s="32">
        <v>0.24652777777777776</v>
      </c>
      <c r="U66" s="438">
        <f t="shared" ref="U66:U70" si="48">(S66-T65)*24*60</f>
        <v>25.999999999999986</v>
      </c>
      <c r="V66" s="446">
        <f t="shared" si="47"/>
        <v>86.000000000000014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-108.83720930232585</v>
      </c>
      <c r="AF66" s="443">
        <f t="shared" si="9"/>
        <v>0.95465116279069762</v>
      </c>
      <c r="AG66" s="616"/>
    </row>
    <row r="67" spans="1:33" ht="15.75" customHeight="1">
      <c r="A67" s="614" t="s">
        <v>2332</v>
      </c>
      <c r="B67" s="447" t="s">
        <v>20</v>
      </c>
      <c r="C67" s="660" t="s">
        <v>80</v>
      </c>
      <c r="D67" s="660"/>
      <c r="E67" s="27">
        <v>25.98</v>
      </c>
      <c r="F67" s="447">
        <v>2612</v>
      </c>
      <c r="G67" s="438">
        <f t="shared" si="45"/>
        <v>67859.759999999995</v>
      </c>
      <c r="H67" s="31" t="s">
        <v>40</v>
      </c>
      <c r="I67" s="445">
        <v>17</v>
      </c>
      <c r="J67" s="29">
        <v>2400</v>
      </c>
      <c r="K67" s="12">
        <f t="shared" si="1"/>
        <v>141.1764705882353</v>
      </c>
      <c r="L67" s="445">
        <v>17</v>
      </c>
      <c r="M67" s="13">
        <f t="shared" si="46"/>
        <v>2304.7058823529414</v>
      </c>
      <c r="N67" s="12">
        <f t="shared" si="3"/>
        <v>135.57093425605538</v>
      </c>
      <c r="O67" s="14">
        <f t="shared" si="4"/>
        <v>0</v>
      </c>
      <c r="P67" s="15">
        <f t="shared" si="5"/>
        <v>-5.6055363321799234</v>
      </c>
      <c r="Q67" s="443">
        <f t="shared" si="6"/>
        <v>0.96029411764705885</v>
      </c>
      <c r="R67" s="616"/>
      <c r="S67" s="32">
        <v>0.25138888888888888</v>
      </c>
      <c r="T67" s="32">
        <v>0.2986111111111111</v>
      </c>
      <c r="U67" s="438">
        <f t="shared" si="48"/>
        <v>7.0000000000000151</v>
      </c>
      <c r="V67" s="446">
        <f t="shared" si="47"/>
        <v>68</v>
      </c>
      <c r="W67" s="16"/>
      <c r="X67" s="16"/>
      <c r="Y67" s="16"/>
      <c r="Z67" s="16"/>
      <c r="AA67" s="612"/>
      <c r="AB67" s="612"/>
      <c r="AC67" s="18"/>
      <c r="AD67" s="18"/>
      <c r="AE67" s="14">
        <f t="shared" si="43"/>
        <v>-95.294117647058556</v>
      </c>
      <c r="AF67" s="443">
        <f t="shared" si="9"/>
        <v>0.96029411764705896</v>
      </c>
      <c r="AG67" s="616"/>
    </row>
    <row r="68" spans="1:33" ht="15.75" customHeight="1">
      <c r="A68" s="614" t="s">
        <v>2332</v>
      </c>
      <c r="B68" s="447" t="s">
        <v>20</v>
      </c>
      <c r="C68" s="660" t="s">
        <v>739</v>
      </c>
      <c r="D68" s="660"/>
      <c r="E68" s="27">
        <v>28.29</v>
      </c>
      <c r="F68" s="447">
        <v>4354</v>
      </c>
      <c r="G68" s="438">
        <f t="shared" si="45"/>
        <v>123174.66</v>
      </c>
      <c r="H68" s="31" t="s">
        <v>40</v>
      </c>
      <c r="I68" s="445">
        <v>21</v>
      </c>
      <c r="J68" s="29">
        <v>2400</v>
      </c>
      <c r="K68" s="12">
        <f t="shared" si="1"/>
        <v>114.28571428571429</v>
      </c>
      <c r="L68" s="445">
        <v>21</v>
      </c>
      <c r="M68" s="13">
        <f t="shared" si="46"/>
        <v>2291.5789473684208</v>
      </c>
      <c r="N68" s="12">
        <f t="shared" si="3"/>
        <v>109.12280701754385</v>
      </c>
      <c r="O68" s="14">
        <f t="shared" si="4"/>
        <v>0</v>
      </c>
      <c r="P68" s="15">
        <f t="shared" si="5"/>
        <v>-5.1629072681704429</v>
      </c>
      <c r="Q68" s="443">
        <f t="shared" si="6"/>
        <v>0.95482456140350858</v>
      </c>
      <c r="R68" s="616"/>
      <c r="S68" s="32">
        <v>0.3034722222222222</v>
      </c>
      <c r="T68" s="32">
        <v>0.38263888888888886</v>
      </c>
      <c r="U68" s="438">
        <f t="shared" si="48"/>
        <v>6.9999999999999751</v>
      </c>
      <c r="V68" s="446">
        <f t="shared" si="47"/>
        <v>114</v>
      </c>
      <c r="W68" s="16"/>
      <c r="X68" s="16"/>
      <c r="Y68" s="16"/>
      <c r="Z68" s="16"/>
      <c r="AA68" s="612"/>
      <c r="AB68" s="612"/>
      <c r="AC68" s="18"/>
      <c r="AD68" s="18"/>
      <c r="AE68" s="14">
        <f t="shared" si="43"/>
        <v>-108.42105263157919</v>
      </c>
      <c r="AF68" s="443">
        <f t="shared" si="9"/>
        <v>0.95482456140350869</v>
      </c>
      <c r="AG68" s="616"/>
    </row>
    <row r="69" spans="1:33" ht="15.75" customHeight="1">
      <c r="A69" s="614" t="s">
        <v>2332</v>
      </c>
      <c r="B69" s="447" t="s">
        <v>20</v>
      </c>
      <c r="C69" s="660" t="s">
        <v>1420</v>
      </c>
      <c r="D69" s="660"/>
      <c r="E69" s="27">
        <v>24.25</v>
      </c>
      <c r="F69" s="447">
        <v>5402</v>
      </c>
      <c r="G69" s="438">
        <f t="shared" si="45"/>
        <v>130998.5</v>
      </c>
      <c r="H69" s="31" t="s">
        <v>40</v>
      </c>
      <c r="I69" s="445">
        <v>17</v>
      </c>
      <c r="J69" s="29">
        <v>2400</v>
      </c>
      <c r="K69" s="12">
        <f t="shared" ref="K69:K71" si="49">J69/I69</f>
        <v>141.1764705882353</v>
      </c>
      <c r="L69" s="445">
        <v>17</v>
      </c>
      <c r="M69" s="13">
        <f t="shared" si="46"/>
        <v>2298.7234042553196</v>
      </c>
      <c r="N69" s="12">
        <f t="shared" ref="N69:N71" si="50">M69/L69</f>
        <v>135.21902377972469</v>
      </c>
      <c r="O69" s="14">
        <f t="shared" ref="O69:O71" si="51">L69-I69</f>
        <v>0</v>
      </c>
      <c r="P69" s="15">
        <f t="shared" ref="P69:P71" si="52">N69-K69</f>
        <v>-5.9574468085106105</v>
      </c>
      <c r="Q69" s="443">
        <f t="shared" ref="Q69:Q71" si="53">N69/K69</f>
        <v>0.95780141843971656</v>
      </c>
      <c r="R69" s="616"/>
      <c r="S69" s="32">
        <v>0.38611111111111107</v>
      </c>
      <c r="T69" s="32">
        <v>0.48402777777777772</v>
      </c>
      <c r="U69" s="438">
        <f t="shared" si="48"/>
        <v>4.9999999999999822</v>
      </c>
      <c r="V69" s="446">
        <f t="shared" si="47"/>
        <v>140.99999999999997</v>
      </c>
      <c r="W69" s="16">
        <f>T69</f>
        <v>0.48402777777777772</v>
      </c>
      <c r="X69" s="16">
        <f>S70</f>
        <v>0.52430555555555547</v>
      </c>
      <c r="Y69" s="16"/>
      <c r="Z69" s="16"/>
      <c r="AA69" s="612"/>
      <c r="AB69" s="612"/>
      <c r="AC69" s="18"/>
      <c r="AD69" s="18"/>
      <c r="AE69" s="14">
        <f t="shared" si="43"/>
        <v>-101.27659574468044</v>
      </c>
      <c r="AF69" s="443">
        <f t="shared" ref="AF69:AF71" si="54">M69/J69</f>
        <v>0.95780141843971645</v>
      </c>
      <c r="AG69" s="616"/>
    </row>
    <row r="70" spans="1:33" ht="15.75" customHeight="1">
      <c r="A70" s="614" t="s">
        <v>2332</v>
      </c>
      <c r="B70" s="447" t="s">
        <v>20</v>
      </c>
      <c r="C70" s="660" t="s">
        <v>39</v>
      </c>
      <c r="D70" s="660"/>
      <c r="E70" s="27">
        <v>19.02</v>
      </c>
      <c r="F70" s="447">
        <v>3939</v>
      </c>
      <c r="G70" s="438">
        <f t="shared" si="45"/>
        <v>74919.78</v>
      </c>
      <c r="H70" s="31" t="s">
        <v>40</v>
      </c>
      <c r="I70" s="445">
        <v>14</v>
      </c>
      <c r="J70" s="29">
        <v>2400</v>
      </c>
      <c r="K70" s="12">
        <f t="shared" si="49"/>
        <v>171.42857142857142</v>
      </c>
      <c r="L70" s="445">
        <v>14</v>
      </c>
      <c r="M70" s="13">
        <f t="shared" si="46"/>
        <v>2294.5631067961172</v>
      </c>
      <c r="N70" s="12">
        <f t="shared" si="50"/>
        <v>163.89736477115122</v>
      </c>
      <c r="O70" s="14">
        <f t="shared" si="51"/>
        <v>0</v>
      </c>
      <c r="P70" s="15">
        <f t="shared" si="52"/>
        <v>-7.5312066574201992</v>
      </c>
      <c r="Q70" s="443">
        <f t="shared" si="53"/>
        <v>0.95606796116504889</v>
      </c>
      <c r="R70" s="616"/>
      <c r="S70" s="32">
        <v>0.52430555555555547</v>
      </c>
      <c r="T70" s="32">
        <v>0.59583333333333321</v>
      </c>
      <c r="U70" s="438">
        <f t="shared" si="48"/>
        <v>57.999999999999957</v>
      </c>
      <c r="V70" s="446">
        <f t="shared" si="47"/>
        <v>102.99999999999996</v>
      </c>
      <c r="W70" s="16"/>
      <c r="X70" s="16"/>
      <c r="Y70" s="16"/>
      <c r="Z70" s="16"/>
      <c r="AA70" s="612"/>
      <c r="AB70" s="612"/>
      <c r="AC70" s="18"/>
      <c r="AD70" s="18"/>
      <c r="AE70" s="14">
        <f t="shared" si="43"/>
        <v>-105.43689320388285</v>
      </c>
      <c r="AF70" s="443">
        <f t="shared" si="54"/>
        <v>0.95606796116504877</v>
      </c>
      <c r="AG70" s="616"/>
    </row>
    <row r="71" spans="1:33" ht="16.5" customHeight="1">
      <c r="A71" s="615" t="s">
        <v>2332</v>
      </c>
      <c r="B71" s="27" t="s">
        <v>2319</v>
      </c>
      <c r="C71" s="609"/>
      <c r="D71" s="610"/>
      <c r="E71" s="444"/>
      <c r="F71" s="28"/>
      <c r="G71" s="12"/>
      <c r="H71" s="447"/>
      <c r="I71" s="21">
        <v>16.666666666666668</v>
      </c>
      <c r="J71" s="29">
        <v>2400</v>
      </c>
      <c r="K71" s="12">
        <f t="shared" si="49"/>
        <v>144</v>
      </c>
      <c r="L71" s="21">
        <v>16.666666666666668</v>
      </c>
      <c r="M71" s="13">
        <f>AVERAGE(M65:M70)</f>
        <v>2295.5695097166235</v>
      </c>
      <c r="N71" s="12">
        <f t="shared" si="50"/>
        <v>137.73417058299739</v>
      </c>
      <c r="O71" s="14">
        <f t="shared" si="51"/>
        <v>0</v>
      </c>
      <c r="P71" s="15">
        <f t="shared" si="52"/>
        <v>-6.2658294170026068</v>
      </c>
      <c r="Q71" s="443">
        <f t="shared" si="53"/>
        <v>0.9564872957152597</v>
      </c>
      <c r="R71" s="616"/>
      <c r="S71" s="32"/>
      <c r="T71" s="32"/>
      <c r="U71" s="12"/>
      <c r="V71" s="446"/>
      <c r="W71" s="12"/>
      <c r="X71" s="12"/>
      <c r="Y71" s="22">
        <f>SUM(Y65:Y70)</f>
        <v>0</v>
      </c>
      <c r="Z71" s="22">
        <f>SUM(Z65:Z70)</f>
        <v>0</v>
      </c>
      <c r="AA71" s="611"/>
      <c r="AB71" s="611"/>
      <c r="AC71" s="22">
        <v>6</v>
      </c>
      <c r="AD71" s="22">
        <f>SUM(AD65:AD70)</f>
        <v>0</v>
      </c>
      <c r="AE71" s="14">
        <f t="shared" si="43"/>
        <v>-104.43049028337646</v>
      </c>
      <c r="AF71" s="443">
        <f t="shared" si="54"/>
        <v>0.95648729571525981</v>
      </c>
      <c r="AG71" s="616"/>
    </row>
    <row r="72" spans="1:33">
      <c r="D72" s="23"/>
      <c r="E72" s="23"/>
    </row>
  </sheetData>
  <mergeCells count="189">
    <mergeCell ref="A65:A71"/>
    <mergeCell ref="C65:D65"/>
    <mergeCell ref="R65:R71"/>
    <mergeCell ref="AA65:AB65"/>
    <mergeCell ref="AG65:AG71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G60:AG64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A60:A64"/>
    <mergeCell ref="C60:D60"/>
    <mergeCell ref="R60:R64"/>
    <mergeCell ref="AA60:AB60"/>
    <mergeCell ref="AA54:AB54"/>
    <mergeCell ref="C55:D55"/>
    <mergeCell ref="AA55:AB55"/>
    <mergeCell ref="C56:D56"/>
    <mergeCell ref="AA56:AB56"/>
    <mergeCell ref="C57:D57"/>
    <mergeCell ref="AA57:AB57"/>
    <mergeCell ref="A50:A59"/>
    <mergeCell ref="C50:D50"/>
    <mergeCell ref="R50:R59"/>
    <mergeCell ref="AA50:AB50"/>
    <mergeCell ref="AG50:AG59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9:D59"/>
    <mergeCell ref="AA59:AB59"/>
    <mergeCell ref="A45:A49"/>
    <mergeCell ref="C45:D45"/>
    <mergeCell ref="R45:R49"/>
    <mergeCell ref="AA45:AB45"/>
    <mergeCell ref="C41:D41"/>
    <mergeCell ref="AA41:AB41"/>
    <mergeCell ref="C42:D42"/>
    <mergeCell ref="AA42:AB42"/>
    <mergeCell ref="C43:D43"/>
    <mergeCell ref="AA43:AB43"/>
    <mergeCell ref="AG38:AG44"/>
    <mergeCell ref="C39:D39"/>
    <mergeCell ref="AA39:AB39"/>
    <mergeCell ref="C40:D40"/>
    <mergeCell ref="AA40:AB40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44:D44"/>
    <mergeCell ref="AA44:AB44"/>
    <mergeCell ref="A31:A37"/>
    <mergeCell ref="C31:D31"/>
    <mergeCell ref="R31:R37"/>
    <mergeCell ref="AA31:AB31"/>
    <mergeCell ref="AA36:AB36"/>
    <mergeCell ref="C37:D37"/>
    <mergeCell ref="AA37:AB37"/>
    <mergeCell ref="A38:A44"/>
    <mergeCell ref="C38:D38"/>
    <mergeCell ref="R38:R44"/>
    <mergeCell ref="AA38:AB38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9:O60 O63:O71 O5:O9 O14:O16 O22:O55">
    <cfRule type="cellIs" dxfId="1701" priority="58" operator="greaterThan">
      <formula>0</formula>
    </cfRule>
  </conditionalFormatting>
  <conditionalFormatting sqref="P5:P7 P63 AE63 P65:P70 P31:P36 P60 P9 P14:P16 P23:P29 P50:P55 P38:P48 AE5:AE60 AE65:AE71">
    <cfRule type="cellIs" dxfId="1700" priority="62" operator="lessThan">
      <formula>0</formula>
    </cfRule>
  </conditionalFormatting>
  <conditionalFormatting sqref="AF63 Q59:Q60 Q63:Q71 Q5:Q9 Q14:Q16 Q22:Q55 AF5:AF60 AF65:AF71">
    <cfRule type="cellIs" dxfId="1699" priority="59" operator="greaterThan">
      <formula>1</formula>
    </cfRule>
    <cfRule type="cellIs" dxfId="1698" priority="60" operator="lessThan">
      <formula>0.8</formula>
    </cfRule>
  </conditionalFormatting>
  <conditionalFormatting sqref="AG15:AG16 R15:R16 AG63 R22:R28 AG22:AG28 AG59:AG60 R59:R60 R63:R71 AG5:AG9 R5:R9 AG30:AG55 R30:R55">
    <cfRule type="cellIs" dxfId="1697" priority="64" operator="lessThan">
      <formula>0.8</formula>
    </cfRule>
  </conditionalFormatting>
  <conditionalFormatting sqref="AG45">
    <cfRule type="cellIs" dxfId="1696" priority="66" operator="lessThan">
      <formula>0.8</formula>
    </cfRule>
  </conditionalFormatting>
  <conditionalFormatting sqref="AG23:AG28">
    <cfRule type="cellIs" dxfId="1695" priority="63" operator="lessThan">
      <formula>0.8</formula>
    </cfRule>
  </conditionalFormatting>
  <conditionalFormatting sqref="AG31">
    <cfRule type="cellIs" dxfId="1694" priority="65" operator="lessThan">
      <formula>0.8</formula>
    </cfRule>
  </conditionalFormatting>
  <conditionalFormatting sqref="AG38:AG43">
    <cfRule type="cellIs" dxfId="1693" priority="61" operator="lessThan">
      <formula>0.8</formula>
    </cfRule>
  </conditionalFormatting>
  <conditionalFormatting sqref="AE64">
    <cfRule type="cellIs" dxfId="1692" priority="57" operator="lessThan">
      <formula>0</formula>
    </cfRule>
  </conditionalFormatting>
  <conditionalFormatting sqref="AF64">
    <cfRule type="cellIs" dxfId="1691" priority="55" operator="greaterThan">
      <formula>1</formula>
    </cfRule>
    <cfRule type="cellIs" dxfId="1690" priority="56" operator="lessThan">
      <formula>0.8</formula>
    </cfRule>
  </conditionalFormatting>
  <conditionalFormatting sqref="O17:O18">
    <cfRule type="cellIs" dxfId="1689" priority="50" operator="greaterThan">
      <formula>0</formula>
    </cfRule>
  </conditionalFormatting>
  <conditionalFormatting sqref="P17:P18">
    <cfRule type="cellIs" dxfId="1688" priority="53" operator="lessThan">
      <formula>0</formula>
    </cfRule>
  </conditionalFormatting>
  <conditionalFormatting sqref="Q17:Q18">
    <cfRule type="cellIs" dxfId="1687" priority="51" operator="greaterThan">
      <formula>1</formula>
    </cfRule>
    <cfRule type="cellIs" dxfId="1686" priority="52" operator="lessThan">
      <formula>0.8</formula>
    </cfRule>
  </conditionalFormatting>
  <conditionalFormatting sqref="R17:R18 AG17:AG18">
    <cfRule type="cellIs" dxfId="1685" priority="54" operator="lessThan">
      <formula>0.8</formula>
    </cfRule>
  </conditionalFormatting>
  <conditionalFormatting sqref="O10:O13">
    <cfRule type="cellIs" dxfId="1684" priority="46" operator="greaterThan">
      <formula>0</formula>
    </cfRule>
  </conditionalFormatting>
  <conditionalFormatting sqref="P10:P13">
    <cfRule type="cellIs" dxfId="1683" priority="49" operator="lessThan">
      <formula>0</formula>
    </cfRule>
  </conditionalFormatting>
  <conditionalFormatting sqref="Q10:Q13">
    <cfRule type="cellIs" dxfId="1682" priority="47" operator="greaterThan">
      <formula>1</formula>
    </cfRule>
    <cfRule type="cellIs" dxfId="1681" priority="48" operator="lessThan">
      <formula>0.8</formula>
    </cfRule>
  </conditionalFormatting>
  <conditionalFormatting sqref="O56">
    <cfRule type="cellIs" dxfId="1680" priority="41" operator="greaterThan">
      <formula>0</formula>
    </cfRule>
  </conditionalFormatting>
  <conditionalFormatting sqref="P56">
    <cfRule type="cellIs" dxfId="1679" priority="44" operator="lessThan">
      <formula>0</formula>
    </cfRule>
  </conditionalFormatting>
  <conditionalFormatting sqref="Q56">
    <cfRule type="cellIs" dxfId="1678" priority="42" operator="greaterThan">
      <formula>1</formula>
    </cfRule>
    <cfRule type="cellIs" dxfId="1677" priority="43" operator="lessThan">
      <formula>0.8</formula>
    </cfRule>
  </conditionalFormatting>
  <conditionalFormatting sqref="R56 AG56">
    <cfRule type="cellIs" dxfId="1676" priority="45" operator="lessThan">
      <formula>0.8</formula>
    </cfRule>
  </conditionalFormatting>
  <conditionalFormatting sqref="O62">
    <cfRule type="cellIs" dxfId="1675" priority="36" operator="greaterThan">
      <formula>0</formula>
    </cfRule>
  </conditionalFormatting>
  <conditionalFormatting sqref="P62 AE62">
    <cfRule type="cellIs" dxfId="1674" priority="39" operator="lessThan">
      <formula>0</formula>
    </cfRule>
  </conditionalFormatting>
  <conditionalFormatting sqref="Q62 AF62">
    <cfRule type="cellIs" dxfId="1673" priority="37" operator="greaterThan">
      <formula>1</formula>
    </cfRule>
    <cfRule type="cellIs" dxfId="1672" priority="38" operator="lessThan">
      <formula>0.8</formula>
    </cfRule>
  </conditionalFormatting>
  <conditionalFormatting sqref="R62 AG62">
    <cfRule type="cellIs" dxfId="1671" priority="40" operator="lessThan">
      <formula>0.8</formula>
    </cfRule>
  </conditionalFormatting>
  <conditionalFormatting sqref="O19:O20">
    <cfRule type="cellIs" dxfId="1670" priority="31" operator="greaterThan">
      <formula>0</formula>
    </cfRule>
  </conditionalFormatting>
  <conditionalFormatting sqref="P19:P20">
    <cfRule type="cellIs" dxfId="1669" priority="34" operator="lessThan">
      <formula>0</formula>
    </cfRule>
  </conditionalFormatting>
  <conditionalFormatting sqref="Q19:Q20">
    <cfRule type="cellIs" dxfId="1668" priority="32" operator="greaterThan">
      <formula>1</formula>
    </cfRule>
    <cfRule type="cellIs" dxfId="1667" priority="33" operator="lessThan">
      <formula>0.8</formula>
    </cfRule>
  </conditionalFormatting>
  <conditionalFormatting sqref="R19:R20 AG19:AG20">
    <cfRule type="cellIs" dxfId="1666" priority="35" operator="lessThan">
      <formula>0.8</formula>
    </cfRule>
  </conditionalFormatting>
  <conditionalFormatting sqref="O57">
    <cfRule type="cellIs" dxfId="1665" priority="26" operator="greaterThan">
      <formula>0</formula>
    </cfRule>
  </conditionalFormatting>
  <conditionalFormatting sqref="P57">
    <cfRule type="cellIs" dxfId="1664" priority="29" operator="lessThan">
      <formula>0</formula>
    </cfRule>
  </conditionalFormatting>
  <conditionalFormatting sqref="Q57">
    <cfRule type="cellIs" dxfId="1663" priority="27" operator="greaterThan">
      <formula>1</formula>
    </cfRule>
    <cfRule type="cellIs" dxfId="1662" priority="28" operator="lessThan">
      <formula>0.8</formula>
    </cfRule>
  </conditionalFormatting>
  <conditionalFormatting sqref="AG57 R57">
    <cfRule type="cellIs" dxfId="1661" priority="30" operator="lessThan">
      <formula>0.8</formula>
    </cfRule>
  </conditionalFormatting>
  <conditionalFormatting sqref="R29 AG29">
    <cfRule type="cellIs" dxfId="1660" priority="25" operator="lessThan">
      <formula>0.8</formula>
    </cfRule>
  </conditionalFormatting>
  <conditionalFormatting sqref="AG29">
    <cfRule type="cellIs" dxfId="1659" priority="24" operator="lessThan">
      <formula>0.8</formula>
    </cfRule>
  </conditionalFormatting>
  <conditionalFormatting sqref="O61">
    <cfRule type="cellIs" dxfId="1658" priority="19" operator="greaterThan">
      <formula>0</formula>
    </cfRule>
  </conditionalFormatting>
  <conditionalFormatting sqref="P61 AE61">
    <cfRule type="cellIs" dxfId="1657" priority="22" operator="lessThan">
      <formula>0</formula>
    </cfRule>
  </conditionalFormatting>
  <conditionalFormatting sqref="Q61 AF61">
    <cfRule type="cellIs" dxfId="1656" priority="20" operator="greaterThan">
      <formula>1</formula>
    </cfRule>
    <cfRule type="cellIs" dxfId="1655" priority="21" operator="lessThan">
      <formula>0.8</formula>
    </cfRule>
  </conditionalFormatting>
  <conditionalFormatting sqref="R61 AG61">
    <cfRule type="cellIs" dxfId="1654" priority="23" operator="lessThan">
      <formula>0.8</formula>
    </cfRule>
  </conditionalFormatting>
  <conditionalFormatting sqref="O21">
    <cfRule type="cellIs" dxfId="1653" priority="14" operator="greaterThan">
      <formula>0</formula>
    </cfRule>
  </conditionalFormatting>
  <conditionalFormatting sqref="P21">
    <cfRule type="cellIs" dxfId="1652" priority="17" operator="lessThan">
      <formula>0</formula>
    </cfRule>
  </conditionalFormatting>
  <conditionalFormatting sqref="Q21">
    <cfRule type="cellIs" dxfId="1651" priority="15" operator="greaterThan">
      <formula>1</formula>
    </cfRule>
    <cfRule type="cellIs" dxfId="1650" priority="16" operator="lessThan">
      <formula>0.8</formula>
    </cfRule>
  </conditionalFormatting>
  <conditionalFormatting sqref="AG21 R21">
    <cfRule type="cellIs" dxfId="1649" priority="18" operator="lessThan">
      <formula>0.8</formula>
    </cfRule>
  </conditionalFormatting>
  <conditionalFormatting sqref="P8">
    <cfRule type="cellIs" dxfId="1648" priority="13" operator="lessThan">
      <formula>0</formula>
    </cfRule>
  </conditionalFormatting>
  <conditionalFormatting sqref="P22">
    <cfRule type="cellIs" dxfId="1647" priority="12" operator="lessThan">
      <formula>0</formula>
    </cfRule>
  </conditionalFormatting>
  <conditionalFormatting sqref="P30">
    <cfRule type="cellIs" dxfId="1646" priority="11" operator="lessThan">
      <formula>0</formula>
    </cfRule>
  </conditionalFormatting>
  <conditionalFormatting sqref="P37">
    <cfRule type="cellIs" dxfId="1645" priority="10" operator="lessThan">
      <formula>0</formula>
    </cfRule>
  </conditionalFormatting>
  <conditionalFormatting sqref="P49">
    <cfRule type="cellIs" dxfId="1644" priority="9" operator="lessThan">
      <formula>0</formula>
    </cfRule>
  </conditionalFormatting>
  <conditionalFormatting sqref="P59">
    <cfRule type="cellIs" dxfId="1643" priority="8" operator="lessThan">
      <formula>0</formula>
    </cfRule>
  </conditionalFormatting>
  <conditionalFormatting sqref="P64">
    <cfRule type="cellIs" dxfId="1642" priority="7" operator="lessThan">
      <formula>0</formula>
    </cfRule>
  </conditionalFormatting>
  <conditionalFormatting sqref="P71">
    <cfRule type="cellIs" dxfId="1641" priority="6" operator="lessThan">
      <formula>0</formula>
    </cfRule>
  </conditionalFormatting>
  <conditionalFormatting sqref="O58">
    <cfRule type="cellIs" dxfId="1640" priority="1" operator="greaterThan">
      <formula>0</formula>
    </cfRule>
  </conditionalFormatting>
  <conditionalFormatting sqref="P58">
    <cfRule type="cellIs" dxfId="1639" priority="4" operator="lessThan">
      <formula>0</formula>
    </cfRule>
  </conditionalFormatting>
  <conditionalFormatting sqref="Q58">
    <cfRule type="cellIs" dxfId="1638" priority="2" operator="greaterThan">
      <formula>1</formula>
    </cfRule>
    <cfRule type="cellIs" dxfId="1637" priority="3" operator="lessThan">
      <formula>0.8</formula>
    </cfRule>
  </conditionalFormatting>
  <conditionalFormatting sqref="AG58 R58">
    <cfRule type="cellIs" dxfId="1636" priority="5" operator="lessThan">
      <formula>0.8</formula>
    </cfRule>
  </conditionalFormatting>
  <dataValidations count="1">
    <dataValidation type="list" allowBlank="1" showInputMessage="1" showErrorMessage="1" sqref="AB8 AA5:AB7 AA8:AA63 AB10:AB60 AA64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2137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2138</v>
      </c>
      <c r="C3" s="594" t="str">
        <f>TEXT('0724 4度C'!A2,"yyyy.mm.ddaaaa")</f>
        <v>2026.07.24星期五</v>
      </c>
      <c r="D3" s="595"/>
      <c r="E3" s="36" t="s">
        <v>2139</v>
      </c>
      <c r="F3" s="596">
        <f>'0724 4度C'!D1</f>
        <v>137952</v>
      </c>
      <c r="G3" s="597"/>
      <c r="H3" s="36" t="s">
        <v>2140</v>
      </c>
      <c r="I3" s="598">
        <f>'0724 4度C'!F1</f>
        <v>4736726.6500000004</v>
      </c>
      <c r="J3" s="599"/>
      <c r="K3" s="37"/>
      <c r="L3" s="38"/>
      <c r="M3" s="39"/>
      <c r="N3" s="39"/>
    </row>
    <row r="4" spans="2:17" ht="28.5" customHeight="1">
      <c r="B4" s="600" t="s">
        <v>2141</v>
      </c>
      <c r="C4" s="586" t="s">
        <v>2142</v>
      </c>
      <c r="D4" s="587"/>
      <c r="E4" s="603" t="s">
        <v>2143</v>
      </c>
      <c r="F4" s="604"/>
      <c r="G4" s="603" t="s">
        <v>2144</v>
      </c>
      <c r="H4" s="604"/>
      <c r="I4" s="603" t="s">
        <v>2145</v>
      </c>
      <c r="J4" s="604"/>
      <c r="K4" s="584" t="s">
        <v>2146</v>
      </c>
      <c r="L4" s="585"/>
      <c r="M4" s="585" t="s">
        <v>94</v>
      </c>
      <c r="N4" s="585"/>
    </row>
    <row r="5" spans="2:17" ht="28.5" customHeight="1">
      <c r="B5" s="601"/>
      <c r="C5" s="586" t="s">
        <v>2147</v>
      </c>
      <c r="D5" s="587"/>
      <c r="E5" s="586" t="s">
        <v>2148</v>
      </c>
      <c r="F5" s="587"/>
      <c r="G5" s="588" t="s">
        <v>2149</v>
      </c>
      <c r="H5" s="589"/>
      <c r="I5" s="590" t="s">
        <v>2150</v>
      </c>
      <c r="J5" s="591"/>
      <c r="K5" s="40" t="s">
        <v>2151</v>
      </c>
      <c r="L5" s="41" t="s">
        <v>2152</v>
      </c>
      <c r="M5" s="40" t="s">
        <v>2153</v>
      </c>
      <c r="N5" s="41" t="s">
        <v>2154</v>
      </c>
    </row>
    <row r="6" spans="2:17" ht="28.5" customHeight="1">
      <c r="B6" s="601"/>
      <c r="C6" s="586" t="s">
        <v>41</v>
      </c>
      <c r="D6" s="587"/>
      <c r="E6" s="578">
        <f>AVERAGE(D13:M13)</f>
        <v>156.49241881541624</v>
      </c>
      <c r="F6" s="579">
        <f>AVERAGE(D31:O31,D13:J13)</f>
        <v>166.44281481873858</v>
      </c>
      <c r="G6" s="580">
        <f>AVERAGE(D13:J13)</f>
        <v>166.44281481873858</v>
      </c>
      <c r="H6" s="581"/>
      <c r="I6" s="580">
        <f>AVERAGE(K13:M13)</f>
        <v>133.27482814099753</v>
      </c>
      <c r="J6" s="581"/>
      <c r="K6" s="582">
        <f>'0724 4度C'!Y2</f>
        <v>0</v>
      </c>
      <c r="L6" s="567">
        <f>'0724 4度C'!Z2</f>
        <v>0</v>
      </c>
      <c r="M6" s="583">
        <f>'0724 4度C'!AC2</f>
        <v>51</v>
      </c>
      <c r="N6" s="567">
        <f>'0724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150.26840654766892</v>
      </c>
      <c r="F7" s="571">
        <f>AVERAGE(D32:O32,D14:J14)</f>
        <v>160.05411491281521</v>
      </c>
      <c r="G7" s="572">
        <f>AVERAGE(D14:J14)</f>
        <v>160.05411491281521</v>
      </c>
      <c r="H7" s="573"/>
      <c r="I7" s="572">
        <f>AVERAGE(K14:M14)</f>
        <v>127.43508702899425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0.95995565014154283</v>
      </c>
      <c r="F8" s="575">
        <f>AVERAGE(D15:J15,D33:O33)</f>
        <v>0.9615338349880197</v>
      </c>
      <c r="G8" s="576">
        <f>AVERAGE(D15:J15)</f>
        <v>0.9615338349880197</v>
      </c>
      <c r="H8" s="577"/>
      <c r="I8" s="576">
        <f>AVERAGE(K15:M15)</f>
        <v>0.95627321883309646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2155</v>
      </c>
      <c r="N9" s="39"/>
      <c r="O9" s="39"/>
      <c r="P9" s="39"/>
      <c r="Q9" s="39"/>
    </row>
    <row r="10" spans="2:17" ht="30" customHeight="1">
      <c r="B10" s="550" t="s">
        <v>2156</v>
      </c>
      <c r="C10" s="551"/>
      <c r="D10" s="552" t="s">
        <v>2157</v>
      </c>
      <c r="E10" s="553"/>
      <c r="F10" s="553"/>
      <c r="G10" s="553"/>
      <c r="H10" s="553"/>
      <c r="I10" s="553"/>
      <c r="J10" s="554"/>
      <c r="K10" s="555" t="s">
        <v>2158</v>
      </c>
      <c r="L10" s="556"/>
      <c r="M10" s="557"/>
      <c r="P10" s="45"/>
      <c r="Q10" s="45"/>
    </row>
    <row r="11" spans="2:17" ht="17.25" customHeight="1">
      <c r="B11" s="558" t="s">
        <v>2159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2160</v>
      </c>
      <c r="C13" s="52" t="s">
        <v>2161</v>
      </c>
      <c r="D13" s="53">
        <f>SUMIFS('0724 4度C'!$K:$K,'0724 4度C'!$A:$A,"新豐6線",'0724 4度C'!$B:$B,"平均")</f>
        <v>129.03225806451613</v>
      </c>
      <c r="E13" s="54">
        <f>SUMIFS('0724 4度C'!$K:$K,'0724 4度C'!$A:$A,"新豐2線",'0724 4度C'!$B:$B,"平均")</f>
        <v>85.714285714285708</v>
      </c>
      <c r="F13" s="55">
        <f>SUMIFS('0724 4度C'!$K:$K,'0724 4度C'!$A:$A,"新豐5線",'0724 4度C'!$B:$B,"平均")</f>
        <v>93.023255813953497</v>
      </c>
      <c r="G13" s="55">
        <f>SUMIFS('0724 4度C'!$K:$K,'0724 4度C'!$A:$A,"新豐7線",'0724 4度C'!$B:$B,"平均")</f>
        <v>127.65957446808511</v>
      </c>
      <c r="H13" s="55">
        <f>SUMIFS('0724 4度C'!$K:$K,'0724 4度C'!$A:$A,"新豐3線",'0724 4度C'!$B:$B,"平均")</f>
        <v>307.69230769230768</v>
      </c>
      <c r="I13" s="55">
        <f>SUMIFS('0724 4度C'!$K:$K,'0724 4度C'!$A:$A,"新豐1線",'0724 4度C'!$B:$B,"平均")</f>
        <v>114.28571428571429</v>
      </c>
      <c r="J13" s="56">
        <f>SUMIFS('0724 4度C'!$K:$K,'0724 4度C'!$A:$A,"新豐10線",'0724 4度C'!$B:$B,"平均")</f>
        <v>307.69230769230768</v>
      </c>
      <c r="K13" s="57">
        <f>SUMIFS('0724 4度C'!$K:$K,'0724 4度C'!$A:$A,"新豐8線",'0724 4度C'!$B:$B,"平均")</f>
        <v>139.53488372093022</v>
      </c>
      <c r="L13" s="58">
        <f>SUMIFS('0724 4度C'!$K:$K,'0724 4度C'!$A:$A,"新豐9線",'0724 4度C'!$B:$B,"平均")</f>
        <v>120.75471698113208</v>
      </c>
      <c r="M13" s="56">
        <f>SUMIFS('0724 4度C'!$K:$K,'0724 4度C'!$A:$A,"新豐4線",'0724 4度C'!$B:$B,"平均")</f>
        <v>139.53488372093022</v>
      </c>
    </row>
    <row r="14" spans="2:17" ht="39.6" customHeight="1">
      <c r="B14" s="563"/>
      <c r="C14" s="59" t="s">
        <v>2162</v>
      </c>
      <c r="D14" s="60">
        <f>SUMIFS('0724 4度C'!$N:$N,'0724 4度C'!$A:$A,"新豐6線",'0724 4度C'!$B:$B,"平均")</f>
        <v>124.41942246567939</v>
      </c>
      <c r="E14" s="61">
        <f>SUMIFS('0724 4度C'!$N:$N,'0724 4度C'!$A:$A,"新豐2線",'0724 4度C'!$B:$B,"平均")</f>
        <v>82.023121555943646</v>
      </c>
      <c r="F14" s="61">
        <f>SUMIFS('0724 4度C'!$N:$N,'0724 4度C'!$A:$A,"新豐5線",'0724 4度C'!$B:$B,"平均")</f>
        <v>89.41813936029051</v>
      </c>
      <c r="G14" s="61">
        <f>SUMIFS('0724 4度C'!$N:$N,'0724 4度C'!$A:$A,"新豐7線",'0724 4度C'!$B:$B,"平均")</f>
        <v>123.02650363820577</v>
      </c>
      <c r="H14" s="61">
        <f>SUMIFS('0724 4度C'!$N:$N,'0724 4度C'!$A:$A,"新豐3線",'0724 4度C'!$B:$B,"平均")</f>
        <v>295.44903969903982</v>
      </c>
      <c r="I14" s="61">
        <f>SUMIFS('0724 4度C'!$N:$N,'0724 4度C'!$A:$A,"新豐1線",'0724 4度C'!$B:$B,"平均")</f>
        <v>109.9544611359192</v>
      </c>
      <c r="J14" s="62">
        <f>SUMIFS('0724 4度C'!$N:$N,'0724 4度C'!$A:$A,"新豐10線",'0724 4度C'!$B:$B,"平均")</f>
        <v>296.08811653462794</v>
      </c>
      <c r="K14" s="63">
        <f>SUMIFS('0724 4度C'!$N:$N,'0724 4度C'!$A:$A,"新豐8線",'0724 4度C'!$B:$B,"平均")</f>
        <v>133.31256971887723</v>
      </c>
      <c r="L14" s="64">
        <f>SUMIFS('0724 4度C'!$N:$N,'0724 4度C'!$A:$A,"新豐9線",'0724 4度C'!$B:$B,"平均")</f>
        <v>115.70717192605308</v>
      </c>
      <c r="M14" s="62">
        <f>SUMIFS('0724 4度C'!$N:$N,'0724 4度C'!$A:$A,"新豐4線",'0724 4度C'!$B:$B,"平均")</f>
        <v>133.28551944205242</v>
      </c>
    </row>
    <row r="15" spans="2:17" ht="40.15" customHeight="1">
      <c r="B15" s="564"/>
      <c r="C15" s="65" t="s">
        <v>2163</v>
      </c>
      <c r="D15" s="66">
        <f t="shared" ref="D15:M15" si="0">D14/D13</f>
        <v>0.96425052410901524</v>
      </c>
      <c r="E15" s="67">
        <f t="shared" si="0"/>
        <v>0.95693641815267594</v>
      </c>
      <c r="F15" s="67">
        <f t="shared" si="0"/>
        <v>0.96124499812312292</v>
      </c>
      <c r="G15" s="67">
        <f t="shared" si="0"/>
        <v>0.96370761183261178</v>
      </c>
      <c r="H15" s="67">
        <f t="shared" si="0"/>
        <v>0.96020937902187942</v>
      </c>
      <c r="I15" s="67">
        <f t="shared" si="0"/>
        <v>0.96210153493929296</v>
      </c>
      <c r="J15" s="68">
        <f t="shared" si="0"/>
        <v>0.96228637873754086</v>
      </c>
      <c r="K15" s="66">
        <f t="shared" si="0"/>
        <v>0.95540674965195349</v>
      </c>
      <c r="L15" s="67">
        <f t="shared" si="0"/>
        <v>0.95820001751262707</v>
      </c>
      <c r="M15" s="68">
        <f t="shared" si="0"/>
        <v>0.95521288933470905</v>
      </c>
    </row>
    <row r="16" spans="2:17" ht="17.25" customHeight="1">
      <c r="B16" s="565" t="s">
        <v>2164</v>
      </c>
      <c r="C16" s="69" t="s">
        <v>2165</v>
      </c>
      <c r="D16" s="70">
        <f>VLOOKUP("新豐6線",'0724 4度C'!$A:$T,19,0)</f>
        <v>0.70833333333333337</v>
      </c>
      <c r="E16" s="71">
        <f>VLOOKUP("新豐2線",'0724 4度C'!$A:$T,19,0)</f>
        <v>8.3333333333333329E-2</v>
      </c>
      <c r="F16" s="71">
        <f>VLOOKUP("新豐5線",'0724 4度C'!$A:$T,19,0)</f>
        <v>8.3333333333333329E-2</v>
      </c>
      <c r="G16" s="71">
        <f>VLOOKUP("新豐7線",'0724 4度C'!$A:$T,19,0)</f>
        <v>0.20833333333333334</v>
      </c>
      <c r="H16" s="71">
        <f>VLOOKUP("新豐3線",'0724 4度C'!$A:$T,19,0)</f>
        <v>0.20833333333333334</v>
      </c>
      <c r="I16" s="71">
        <f>VLOOKUP("新豐1線",'0724 4度C'!$A:$T,19,0)</f>
        <v>0.20833333333333334</v>
      </c>
      <c r="J16" s="72">
        <f>VLOOKUP("新豐10線",'0724 4度C'!$A:$T,19,0)</f>
        <v>0.20833333333333334</v>
      </c>
      <c r="K16" s="73">
        <f>VLOOKUP("新豐8線",'0724 4度C'!$A:$T,19,0)</f>
        <v>8.3333333333333329E-2</v>
      </c>
      <c r="L16" s="74">
        <f>VLOOKUP("新豐9線",'0724 4度C'!$A:$T,19,0)</f>
        <v>8.3333333333333329E-2</v>
      </c>
      <c r="M16" s="75">
        <f>VLOOKUP("新豐4線",'0724 4度C'!$A:$T,19,0)</f>
        <v>8.3333333333333329E-2</v>
      </c>
    </row>
    <row r="17" spans="2:13" ht="17.25" customHeight="1">
      <c r="B17" s="566"/>
      <c r="C17" s="69" t="s">
        <v>2166</v>
      </c>
      <c r="D17" s="73">
        <f>LOOKUP(2,1/(('0724 4度C'!$A:$A="新豐6線")*('0724 4度C'!$T:$T&lt;&gt;"")),'0724 4度C'!$T:$T)</f>
        <v>0.78749999999999998</v>
      </c>
      <c r="E17" s="71">
        <f>LOOKUP(2,1/(('0724 4度C'!$A:$A="新豐2線")*('0724 4度C'!$T:$T&lt;&gt;"")),'0724 4度C'!$T:$T)</f>
        <v>0.51736111111111105</v>
      </c>
      <c r="F17" s="71">
        <f>LOOKUP(2,1/(('0724 4度C'!$A:$A="新豐5線")*('0724 4度C'!$T:$T&lt;&gt;"")),'0724 4度C'!$T:$T)</f>
        <v>0.82708333333333339</v>
      </c>
      <c r="G17" s="71">
        <f>LOOKUP(2,1/(('0724 4度C'!$A:$A="新豐7線")*('0724 4度C'!$T:$T&lt;&gt;"")),'0724 4度C'!$T:$T)</f>
        <v>0.83819444444444446</v>
      </c>
      <c r="H17" s="71">
        <f>LOOKUP(2,1/(('0724 4度C'!$A:$A="新豐3線")*('0724 4度C'!$T:$T&lt;&gt;"")),'0724 4度C'!$T:$T)</f>
        <v>0.39444444444444438</v>
      </c>
      <c r="I17" s="71">
        <f>LOOKUP(2,1/(('0724 4度C'!$A:$A="新豐1線")*('0724 4度C'!$T:$T&lt;&gt;"")),'0724 4度C'!$T:$T)</f>
        <v>0.81111111111111123</v>
      </c>
      <c r="J17" s="72">
        <f>LOOKUP(2,1/(('0724 4度C'!$A:$A="新豐10線")*('0724 4度C'!$T:$T&lt;&gt;"")),'0724 4度C'!$T:$T)</f>
        <v>0.34375</v>
      </c>
      <c r="K17" s="70">
        <f>LOOKUP(2,1/(('0724 4度C'!$A:$A="新豐8線")*('0724 4度C'!$T:$T&lt;&gt;"")),'0724 4度C'!$T:$T)</f>
        <v>0.51458333333333328</v>
      </c>
      <c r="L17" s="71">
        <f>LOOKUP(2,1/(('0724 4度C'!$A:$A="新豐9線")*('0724 4度C'!$T:$T&lt;&gt;"")),'0724 4度C'!$T:$T)</f>
        <v>0.5743055555555554</v>
      </c>
      <c r="M17" s="72">
        <f>LOOKUP(2,1/(('0724 4度C'!$A:$A="新豐4線")*('0724 4度C'!$T:$T&lt;&gt;"")),'0724 4度C'!$T:$T)</f>
        <v>0.5215277777777777</v>
      </c>
    </row>
    <row r="18" spans="2:13" ht="17.25" customHeight="1">
      <c r="B18" s="544" t="s">
        <v>2167</v>
      </c>
      <c r="C18" s="76" t="s">
        <v>2168</v>
      </c>
      <c r="D18" s="77">
        <f>SUMIFS('0724 4度C'!$Y:$Y,'0724 4度C'!$A:$A,"新豐6線",'0724 4度C'!$B:$B,"平均")</f>
        <v>0</v>
      </c>
      <c r="E18" s="78">
        <f>SUMIFS('0724 4度C'!$Y:$Y,'0724 4度C'!$A:$A,"新豐2線",'0724 4度C'!$B:$B,"平均")</f>
        <v>0</v>
      </c>
      <c r="F18" s="78">
        <f>SUMIFS('0724 4度C'!$Y:$Y,'0724 4度C'!$A:$A,"新豐5線",'0724 4度C'!$B:$B,"平均")</f>
        <v>0</v>
      </c>
      <c r="G18" s="78">
        <f>SUMIFS('0724 4度C'!$Y:$Y,'0724 4度C'!$A:$A,"新豐7線",'0724 4度C'!$B:$B,"平均")</f>
        <v>0</v>
      </c>
      <c r="H18" s="78">
        <f>SUMIFS('0724 4度C'!$Y:$Y,'0724 4度C'!$A:$A,"新豐3線",'0724 4度C'!$B:$B,"平均")</f>
        <v>0</v>
      </c>
      <c r="I18" s="78">
        <f>SUMIFS('0724 4度C'!$Y:$Y,'0724 4度C'!$A:$A,"新豐1線",'0724 4度C'!$B:$B,"平均")</f>
        <v>0</v>
      </c>
      <c r="J18" s="79">
        <f>SUMIFS('0724 4度C'!$Y:$Y,'0724 4度C'!$A:$A,"新豐10線",'0724 4度C'!$B:$B,"平均")</f>
        <v>0</v>
      </c>
      <c r="K18" s="80">
        <f>SUMIFS('0724 4度C'!$Y:$Y,'0724 4度C'!$A:$A,"新豐8線",'0724 4度C'!$B:$B,"平均")</f>
        <v>0</v>
      </c>
      <c r="L18" s="78">
        <f>SUMIFS('0724 4度C'!$Y:$Y,'0724 4度C'!$A:$A,"新豐9線",'0724 4度C'!$B:$B,"平均")</f>
        <v>0</v>
      </c>
      <c r="M18" s="79">
        <f>SUMIFS('0724 4度C'!$Y:$Y,'0724 4度C'!$A:$A,"新豐4線",'0724 4度C'!$B:$B,"平均")</f>
        <v>0</v>
      </c>
    </row>
    <row r="19" spans="2:13" ht="17.25" customHeight="1">
      <c r="B19" s="545"/>
      <c r="C19" s="76" t="s">
        <v>2169</v>
      </c>
      <c r="D19" s="77">
        <f>SUMIFS('0724 4度C'!$Z:$Z,'0724 4度C'!$A:$A,"新豐6線",'0724 4度C'!$B:$B,"平均")</f>
        <v>0</v>
      </c>
      <c r="E19" s="78">
        <f>SUMIFS('0724 4度C'!$Z:$Z,'0724 4度C'!$A:$A,"新豐2線",'0724 4度C'!$B:$B,"平均")</f>
        <v>0</v>
      </c>
      <c r="F19" s="78">
        <f>SUMIFS('0724 4度C'!$Z:$Z,'0724 4度C'!$A:$A,"新豐5線",'0724 4度C'!$B:$B,"平均")</f>
        <v>0</v>
      </c>
      <c r="G19" s="78">
        <f>SUMIFS('0724 4度C'!$Z:$Z,'0724 4度C'!$A:$A,"新豐7線",'0724 4度C'!$B:$B,"平均")</f>
        <v>0</v>
      </c>
      <c r="H19" s="78">
        <f>SUMIFS('0724 4度C'!$Z:$Z,'0724 4度C'!$A:$A,"新豐3線",'0724 4度C'!$B:$B,"平均")</f>
        <v>0</v>
      </c>
      <c r="I19" s="78">
        <f>SUMIFS('0724 4度C'!$Z:$Z,'0724 4度C'!$A:$A,"新豐1線",'0724 4度C'!$B:$B,"平均")</f>
        <v>0</v>
      </c>
      <c r="J19" s="79">
        <f>SUMIFS('0724 4度C'!$Z:$Z,'0724 4度C'!$A:$A,"新豐10線",'0724 4度C'!$B:$B,"平均")</f>
        <v>0</v>
      </c>
      <c r="K19" s="80">
        <f>SUMIFS('0724 4度C'!$Z:$Z,'0724 4度C'!$A:$A,"新豐8線",'0724 4度C'!$B:$B,"平均")</f>
        <v>0</v>
      </c>
      <c r="L19" s="78">
        <f>SUMIFS('0724 4度C'!$Z:$Z,'0724 4度C'!$A:$A,"新豐9線",'0724 4度C'!$B:$B,"平均")</f>
        <v>0</v>
      </c>
      <c r="M19" s="79">
        <f>SUMIFS('0724 4度C'!$Z:$Z,'0724 4度C'!$A:$A,"新豐4線",'0724 4度C'!$B:$B,"平均")</f>
        <v>0</v>
      </c>
    </row>
    <row r="20" spans="2:13" ht="17.25" customHeight="1">
      <c r="B20" s="544" t="s">
        <v>2170</v>
      </c>
      <c r="C20" s="76" t="s">
        <v>2168</v>
      </c>
      <c r="D20" s="77">
        <f>SUMIFS('0724 4度C'!$AC:$AC,'0724 4度C'!$A:$A,"新豐6線",'0724 4度C'!$B:$B,"平均")</f>
        <v>2</v>
      </c>
      <c r="E20" s="78">
        <f>SUMIFS('0724 4度C'!$AC:$AC,'0724 4度C'!$A:$A,"新豐2線",'0724 4度C'!$B:$B,"平均")</f>
        <v>4</v>
      </c>
      <c r="F20" s="78">
        <f>SUMIFS('0724 4度C'!$AC:$AC,'0724 4度C'!$A:$A,"新豐5線",'0724 4度C'!$B:$B,"平均")</f>
        <v>7</v>
      </c>
      <c r="G20" s="78">
        <f>SUMIFS('0724 4度C'!$AC:$AC,'0724 4度C'!$A:$A,"新豐7線",'0724 4度C'!$B:$B,"平均")</f>
        <v>6</v>
      </c>
      <c r="H20" s="78">
        <f>SUMIFS('0724 4度C'!$AC:$AC,'0724 4度C'!$A:$A,"新豐3線",'0724 4度C'!$B:$B,"平均")</f>
        <v>4</v>
      </c>
      <c r="I20" s="78">
        <f>SUMIFS('0724 4度C'!$AC:$AC,'0724 4度C'!$A:$A,"新豐1線",'0724 4度C'!$B:$B,"平均")</f>
        <v>8</v>
      </c>
      <c r="J20" s="79">
        <f>SUMIFS('0724 4度C'!$AC:$AC,'0724 4度C'!$A:$A,"新豐10線",'0724 4度C'!$B:$B,"平均")</f>
        <v>4</v>
      </c>
      <c r="K20" s="80">
        <f>SUMIFS('0724 4度C'!$AC:$AC,'0724 4度C'!$A:$A,"新豐8線",'0724 4度C'!$B:$B,"平均")</f>
        <v>5</v>
      </c>
      <c r="L20" s="78">
        <f>SUMIFS('0724 4度C'!$AC:$AC,'0724 4度C'!$A:$A,"新豐9線",'0724 4度C'!$B:$B,"平均")</f>
        <v>6</v>
      </c>
      <c r="M20" s="79">
        <f>SUMIFS('0724 4度C'!$AC:$AC,'0724 4度C'!$A:$A,"新豐4線",'0724 4度C'!$B:$B,"平均")</f>
        <v>5</v>
      </c>
    </row>
    <row r="21" spans="2:13" ht="17.25" customHeight="1">
      <c r="B21" s="545"/>
      <c r="C21" s="76" t="s">
        <v>2171</v>
      </c>
      <c r="D21" s="77">
        <f>SUMIFS('0724 4度C'!$AD:$AD,'0724 4度C'!$A:$A,"新豐6線",'0724 4度C'!$B:$B,"平均")</f>
        <v>0</v>
      </c>
      <c r="E21" s="78">
        <f>SUMIFS('0724 4度C'!$AD:$AD,'0724 4度C'!$A:$A,"新豐2線",'0724 4度C'!$B:$B,"平均")</f>
        <v>0</v>
      </c>
      <c r="F21" s="78">
        <f>SUMIFS('0724 4度C'!$AD:$AD,'0724 4度C'!$A:$A,"新豐5線",'0724 4度C'!$B:$B,"平均")</f>
        <v>0</v>
      </c>
      <c r="G21" s="78">
        <f>SUMIFS('0724 4度C'!$AD:$AD,'0724 4度C'!$A:$A,"新豐7線",'0724 4度C'!$B:$B,"平均")</f>
        <v>0</v>
      </c>
      <c r="H21" s="78">
        <f>SUMIFS('0724 4度C'!$AD:$AD,'0724 4度C'!$A:$A,"新豐3線",'0724 4度C'!$B:$B,"平均")</f>
        <v>0</v>
      </c>
      <c r="I21" s="78">
        <f>SUMIFS('0724 4度C'!$AD:$AD,'0724 4度C'!$A:$A,"新豐1線",'0724 4度C'!$B:$B,"平均")</f>
        <v>0</v>
      </c>
      <c r="J21" s="79">
        <f>SUMIFS('0724 4度C'!$AD:$AD,'0724 4度C'!$A:$A,"新豐10線",'0724 4度C'!$B:$B,"平均")</f>
        <v>0</v>
      </c>
      <c r="K21" s="80">
        <f>SUMIFS('0724 4度C'!$AD:$AD,'0724 4度C'!$A:$A,"新豐8線",'0724 4度C'!$B:$B,"平均")</f>
        <v>0</v>
      </c>
      <c r="L21" s="78">
        <f>SUMIFS('0724 4度C'!$AD:$AD,'0724 4度C'!$A:$A,"新豐9線",'0724 4度C'!$B:$B,"平均")</f>
        <v>0</v>
      </c>
      <c r="M21" s="79">
        <f>SUMIFS('0724 4度C'!$AD:$AD,'0724 4度C'!$A:$A,"新豐4線",'0724 4度C'!$B:$B,"平均")</f>
        <v>0</v>
      </c>
    </row>
    <row r="22" spans="2:13" ht="17.25" customHeight="1">
      <c r="B22" s="546" t="s">
        <v>2172</v>
      </c>
      <c r="C22" s="547"/>
      <c r="D22" s="81">
        <f>SUMIFS('0724 4度C'!$I:$I,'0724 4度C'!$A:$A,"新豐6線",'0724 4度C'!$B:$B,"平均")</f>
        <v>15.5</v>
      </c>
      <c r="E22" s="82">
        <f>SUMIFS('0724 4度C'!$I:$I,'0724 4度C'!$A:$A,"新豐2線",'0724 4度C'!$B:$B,"平均")</f>
        <v>17.5</v>
      </c>
      <c r="F22" s="82">
        <f>SUMIFS('0724 4度C'!$I:$I,'0724 4度C'!$A:$A,"新豐5線",'0724 4度C'!$B:$B,"平均")</f>
        <v>18.428571428571427</v>
      </c>
      <c r="G22" s="82">
        <f>SUMIFS('0724 4度C'!$I:$I,'0724 4度C'!$A:$A,"新豐7線",'0724 4度C'!$B:$B,"平均")</f>
        <v>15.666666666666666</v>
      </c>
      <c r="H22" s="82">
        <f>SUMIFS('0724 4度C'!$I:$I,'0724 4度C'!$A:$A,"新豐3線",'0724 4度C'!$B:$B,"平均")</f>
        <v>9.75</v>
      </c>
      <c r="I22" s="82">
        <f>SUMIFS('0724 4度C'!$I:$I,'0724 4度C'!$A:$A,"新豐1線",'0724 4度C'!$B:$B,"平均")</f>
        <v>17.5</v>
      </c>
      <c r="J22" s="83">
        <f>SUMIFS('0724 4度C'!$I:$I,'0724 4度C'!$A:$A,"新豐10線",'0724 4度C'!$B:$B,"平均")</f>
        <v>9.75</v>
      </c>
      <c r="K22" s="81">
        <f>SUMIFS('0724 4度C'!$I:$I,'0724 4度C'!$A:$A,"新豐8線",'0724 4度C'!$B:$B,"平均")</f>
        <v>17.2</v>
      </c>
      <c r="L22" s="82">
        <f>SUMIFS('0724 4度C'!$I:$I,'0724 4度C'!$A:$A,"新豐9線",'0724 4度C'!$B:$B,"平均")</f>
        <v>17.666666666666668</v>
      </c>
      <c r="M22" s="83">
        <f>SUMIFS('0724 4度C'!$I:$I,'0724 4度C'!$A:$A,"新豐4線",'0724 4度C'!$B:$B,"平均")</f>
        <v>17.2</v>
      </c>
    </row>
    <row r="23" spans="2:13" ht="17.25" customHeight="1">
      <c r="B23" s="546" t="s">
        <v>119</v>
      </c>
      <c r="C23" s="547"/>
      <c r="D23" s="84" t="s">
        <v>54</v>
      </c>
      <c r="E23" s="85" t="s">
        <v>55</v>
      </c>
      <c r="F23" s="85" t="s">
        <v>2173</v>
      </c>
      <c r="G23" s="85" t="s">
        <v>2174</v>
      </c>
      <c r="H23" s="85" t="s">
        <v>56</v>
      </c>
      <c r="I23" s="85" t="s">
        <v>54</v>
      </c>
      <c r="J23" s="86" t="s">
        <v>56</v>
      </c>
      <c r="K23" s="84" t="s">
        <v>231</v>
      </c>
      <c r="L23" s="85" t="s">
        <v>231</v>
      </c>
      <c r="M23" s="86" t="s">
        <v>2175</v>
      </c>
    </row>
    <row r="24" spans="2:13" ht="17.25" customHeight="1">
      <c r="B24" s="546" t="s">
        <v>2176</v>
      </c>
      <c r="C24" s="547"/>
      <c r="D24" s="84"/>
      <c r="E24" s="85"/>
      <c r="F24" s="85" t="s">
        <v>2177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2178</v>
      </c>
      <c r="C25" s="549"/>
      <c r="D25" s="87"/>
      <c r="E25" s="88" t="s">
        <v>2179</v>
      </c>
      <c r="F25" s="542" t="s">
        <v>2180</v>
      </c>
      <c r="G25" s="543"/>
      <c r="H25" s="88" t="s">
        <v>2181</v>
      </c>
      <c r="I25" s="88" t="s">
        <v>128</v>
      </c>
      <c r="J25" s="89" t="s">
        <v>2181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63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6"/>
  <sheetViews>
    <sheetView zoomScale="80" zoomScaleNormal="80" workbookViewId="0">
      <pane ySplit="4" topLeftCell="A5" activePane="bottomLeft" state="frozen"/>
      <selection activeCell="G7" sqref="G7:H7"/>
      <selection pane="bottomLeft" activeCell="G7" sqref="G7:H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2182</v>
      </c>
      <c r="B1" s="1"/>
      <c r="C1" s="2" t="s">
        <v>2183</v>
      </c>
      <c r="D1" s="3">
        <f>SUM(F5:F65)</f>
        <v>137952</v>
      </c>
      <c r="E1" s="423" t="s">
        <v>2184</v>
      </c>
      <c r="F1" s="1">
        <f>SUM(G5:G65)</f>
        <v>4736726.6500000004</v>
      </c>
      <c r="G1" s="1" t="s">
        <v>2185</v>
      </c>
      <c r="H1" s="4">
        <f>L7+L12+L45+L54+L20+L59+L33+L40+L27+L65</f>
        <v>156.16190476190476</v>
      </c>
      <c r="I1" s="654" t="s">
        <v>2186</v>
      </c>
      <c r="J1" s="654"/>
      <c r="K1" s="654"/>
      <c r="L1" s="654" t="s">
        <v>2187</v>
      </c>
      <c r="M1" s="654"/>
      <c r="N1" s="654"/>
      <c r="O1" s="654" t="s">
        <v>2188</v>
      </c>
      <c r="P1" s="654"/>
      <c r="Q1" s="654"/>
      <c r="R1" s="654"/>
      <c r="S1" s="654" t="s">
        <v>2189</v>
      </c>
      <c r="T1" s="654"/>
      <c r="U1" s="654"/>
      <c r="V1" s="654"/>
      <c r="W1" s="654"/>
      <c r="X1" s="654"/>
      <c r="Y1" s="5" t="s">
        <v>2190</v>
      </c>
      <c r="Z1" s="6" t="s">
        <v>2191</v>
      </c>
      <c r="AA1" s="655" t="s">
        <v>2192</v>
      </c>
      <c r="AB1" s="655"/>
      <c r="AC1" s="134" t="s">
        <v>2190</v>
      </c>
      <c r="AD1" s="6" t="s">
        <v>2193</v>
      </c>
      <c r="AE1" s="654" t="s">
        <v>2194</v>
      </c>
      <c r="AF1" s="656"/>
      <c r="AG1" s="656"/>
    </row>
    <row r="2" spans="1:33" ht="26.25" customHeight="1">
      <c r="A2" s="25">
        <v>46227</v>
      </c>
      <c r="B2" s="26" t="s">
        <v>346</v>
      </c>
      <c r="C2" s="2" t="s">
        <v>2195</v>
      </c>
      <c r="D2" s="8">
        <f>AVERAGE(N7,N12,N45,N54,N20,N59,N27,N33,N40,N65)</f>
        <v>150.26840654766892</v>
      </c>
      <c r="E2" s="9" t="s">
        <v>0</v>
      </c>
      <c r="F2" s="10">
        <f>F1/D1</f>
        <v>34.336049133031779</v>
      </c>
      <c r="G2" s="1" t="s">
        <v>2196</v>
      </c>
      <c r="H2" s="435">
        <f>COUNT(H5:H65)</f>
        <v>1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SUM(Y7+Y12+Y20+Y27+Y33+Y40+Y45+Y54+Y59+Y65)</f>
        <v>0</v>
      </c>
      <c r="Z2" s="11">
        <f>SUM(Z7+Z12+Z20+Z27+Z33+Z40+Z45+Z54+Z59+Z65)</f>
        <v>0</v>
      </c>
      <c r="AA2" s="655"/>
      <c r="AB2" s="655"/>
      <c r="AC2" s="135">
        <v>51</v>
      </c>
      <c r="AD2" s="11">
        <f>SUM(AD7+AD12+AD20+AD27+AD33+AD40+AD45+AD54+AD59+AD65)</f>
        <v>0</v>
      </c>
      <c r="AE2" s="656"/>
      <c r="AF2" s="656"/>
      <c r="AG2" s="656"/>
    </row>
    <row r="3" spans="1:33" ht="40.5" customHeight="1">
      <c r="A3" s="612" t="s">
        <v>2197</v>
      </c>
      <c r="B3" s="612" t="s">
        <v>2198</v>
      </c>
      <c r="C3" s="612" t="s">
        <v>2199</v>
      </c>
      <c r="D3" s="612"/>
      <c r="E3" s="652" t="s">
        <v>2200</v>
      </c>
      <c r="F3" s="612" t="s">
        <v>2201</v>
      </c>
      <c r="G3" s="652" t="s">
        <v>2202</v>
      </c>
      <c r="H3" s="645" t="s">
        <v>2203</v>
      </c>
      <c r="I3" s="644" t="s">
        <v>2204</v>
      </c>
      <c r="J3" s="641" t="s">
        <v>2205</v>
      </c>
      <c r="K3" s="650" t="s">
        <v>2195</v>
      </c>
      <c r="L3" s="644" t="s">
        <v>2204</v>
      </c>
      <c r="M3" s="641" t="s">
        <v>2205</v>
      </c>
      <c r="N3" s="650" t="s">
        <v>2195</v>
      </c>
      <c r="O3" s="644" t="s">
        <v>2204</v>
      </c>
      <c r="P3" s="650" t="s">
        <v>2195</v>
      </c>
      <c r="Q3" s="642" t="s">
        <v>2206</v>
      </c>
      <c r="R3" s="621" t="s">
        <v>2207</v>
      </c>
      <c r="S3" s="651" t="s">
        <v>1</v>
      </c>
      <c r="T3" s="651"/>
      <c r="U3" s="645" t="s">
        <v>2</v>
      </c>
      <c r="V3" s="645" t="s">
        <v>2208</v>
      </c>
      <c r="W3" s="612" t="s">
        <v>2209</v>
      </c>
      <c r="X3" s="612"/>
      <c r="Y3" s="646" t="s">
        <v>2210</v>
      </c>
      <c r="Z3" s="611"/>
      <c r="AA3" s="647" t="s">
        <v>2211</v>
      </c>
      <c r="AB3" s="648"/>
      <c r="AC3" s="646" t="s">
        <v>2212</v>
      </c>
      <c r="AD3" s="611"/>
      <c r="AE3" s="641" t="s">
        <v>2213</v>
      </c>
      <c r="AF3" s="642" t="s">
        <v>2214</v>
      </c>
      <c r="AG3" s="621" t="s">
        <v>2215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34" t="s">
        <v>3</v>
      </c>
      <c r="T4" s="434" t="s">
        <v>4</v>
      </c>
      <c r="U4" s="645"/>
      <c r="V4" s="645"/>
      <c r="W4" s="423" t="s">
        <v>2216</v>
      </c>
      <c r="X4" s="423" t="s">
        <v>2217</v>
      </c>
      <c r="Y4" s="422" t="s">
        <v>2218</v>
      </c>
      <c r="Z4" s="422" t="s">
        <v>2219</v>
      </c>
      <c r="AA4" s="649"/>
      <c r="AB4" s="648"/>
      <c r="AC4" s="422" t="s">
        <v>2220</v>
      </c>
      <c r="AD4" s="422" t="s">
        <v>2221</v>
      </c>
      <c r="AE4" s="641"/>
      <c r="AF4" s="642"/>
      <c r="AG4" s="621"/>
    </row>
    <row r="5" spans="1:33">
      <c r="A5" s="643" t="s">
        <v>2222</v>
      </c>
      <c r="B5" s="27" t="s">
        <v>5</v>
      </c>
      <c r="C5" s="657" t="s">
        <v>14</v>
      </c>
      <c r="D5" s="657"/>
      <c r="E5" s="27">
        <v>50.92</v>
      </c>
      <c r="F5" s="434">
        <v>1727</v>
      </c>
      <c r="G5" s="423">
        <f t="shared" ref="G5:G6" si="0">E5*F5</f>
        <v>87938.84</v>
      </c>
      <c r="H5" s="31" t="s">
        <v>40</v>
      </c>
      <c r="I5" s="432">
        <v>15</v>
      </c>
      <c r="J5" s="29">
        <v>2000</v>
      </c>
      <c r="K5" s="12">
        <f t="shared" ref="K5:K65" si="1">J5/I5</f>
        <v>133.33333333333334</v>
      </c>
      <c r="L5" s="432">
        <v>15</v>
      </c>
      <c r="M5" s="13">
        <f t="shared" ref="M5:M6" si="2">F5/V5*60</f>
        <v>1918.8888888888898</v>
      </c>
      <c r="N5" s="12">
        <f t="shared" ref="N5:N65" si="3">M5/L5</f>
        <v>127.92592592592599</v>
      </c>
      <c r="O5" s="14">
        <f t="shared" ref="O5:O65" si="4">L5-I5</f>
        <v>0</v>
      </c>
      <c r="P5" s="15">
        <f t="shared" ref="P5:P65" si="5">N5-K5</f>
        <v>-5.4074074074073479</v>
      </c>
      <c r="Q5" s="428">
        <f t="shared" ref="Q5:Q65" si="6">N5/K5</f>
        <v>0.95944444444444488</v>
      </c>
      <c r="R5" s="616">
        <f>Q7</f>
        <v>0.96425052410901524</v>
      </c>
      <c r="S5" s="32">
        <v>0.70833333333333337</v>
      </c>
      <c r="T5" s="32">
        <v>0.74583333333333335</v>
      </c>
      <c r="U5" s="423"/>
      <c r="V5" s="433">
        <f t="shared" ref="V5:V6" si="7">(T5-S5)*24*60</f>
        <v>53.999999999999972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3" si="8">M5-J5</f>
        <v>-81.111111111110176</v>
      </c>
      <c r="AF5" s="428">
        <f t="shared" ref="AF5:AF65" si="9">M5/J5</f>
        <v>0.95944444444444488</v>
      </c>
      <c r="AG5" s="616">
        <f>AF7</f>
        <v>0.96425052410901524</v>
      </c>
    </row>
    <row r="6" spans="1:33">
      <c r="A6" s="644" t="s">
        <v>2223</v>
      </c>
      <c r="B6" s="27" t="s">
        <v>5</v>
      </c>
      <c r="C6" s="657" t="s">
        <v>19</v>
      </c>
      <c r="D6" s="657"/>
      <c r="E6" s="27">
        <v>50.98</v>
      </c>
      <c r="F6" s="434">
        <v>1712</v>
      </c>
      <c r="G6" s="423">
        <f t="shared" si="0"/>
        <v>87277.759999999995</v>
      </c>
      <c r="H6" s="31" t="s">
        <v>40</v>
      </c>
      <c r="I6" s="432">
        <v>16</v>
      </c>
      <c r="J6" s="29">
        <v>2000</v>
      </c>
      <c r="K6" s="12">
        <f t="shared" si="1"/>
        <v>125</v>
      </c>
      <c r="L6" s="432">
        <v>16</v>
      </c>
      <c r="M6" s="13">
        <f t="shared" si="2"/>
        <v>1938.113207547171</v>
      </c>
      <c r="N6" s="12">
        <f t="shared" si="3"/>
        <v>121.13207547169819</v>
      </c>
      <c r="O6" s="14">
        <f t="shared" si="4"/>
        <v>0</v>
      </c>
      <c r="P6" s="15">
        <f t="shared" si="5"/>
        <v>-3.8679245283018133</v>
      </c>
      <c r="Q6" s="428">
        <f t="shared" si="6"/>
        <v>0.96905660377358549</v>
      </c>
      <c r="R6" s="616"/>
      <c r="S6" s="32">
        <v>0.75069444444444444</v>
      </c>
      <c r="T6" s="32">
        <v>0.78749999999999998</v>
      </c>
      <c r="U6" s="423">
        <f t="shared" ref="U6" si="10">IF(S6=TIME(17,0,0),"",(S6-T5)*24*60)</f>
        <v>6.9999999999999751</v>
      </c>
      <c r="V6" s="433">
        <f t="shared" si="7"/>
        <v>52.999999999999972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-61.886792452829013</v>
      </c>
      <c r="AF6" s="428">
        <f t="shared" si="9"/>
        <v>0.96905660377358549</v>
      </c>
      <c r="AG6" s="616"/>
    </row>
    <row r="7" spans="1:33">
      <c r="A7" s="644" t="s">
        <v>2223</v>
      </c>
      <c r="B7" s="27" t="s">
        <v>2224</v>
      </c>
      <c r="C7" s="658"/>
      <c r="D7" s="658"/>
      <c r="E7" s="429"/>
      <c r="F7" s="28"/>
      <c r="G7" s="12"/>
      <c r="H7" s="434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1928.5010482180305</v>
      </c>
      <c r="N7" s="12">
        <f t="shared" si="3"/>
        <v>124.41942246567939</v>
      </c>
      <c r="O7" s="14">
        <f t="shared" si="4"/>
        <v>0</v>
      </c>
      <c r="P7" s="15">
        <f t="shared" si="5"/>
        <v>-4.6128355988367389</v>
      </c>
      <c r="Q7" s="428">
        <f t="shared" si="6"/>
        <v>0.96425052410901524</v>
      </c>
      <c r="R7" s="616"/>
      <c r="S7" s="32"/>
      <c r="T7" s="32"/>
      <c r="U7" s="423"/>
      <c r="V7" s="43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-71.498951781969481</v>
      </c>
      <c r="AF7" s="428">
        <f t="shared" si="9"/>
        <v>0.96425052410901524</v>
      </c>
      <c r="AG7" s="616"/>
    </row>
    <row r="8" spans="1:33" ht="15.75" customHeight="1">
      <c r="A8" s="640" t="s">
        <v>2225</v>
      </c>
      <c r="B8" s="27" t="s">
        <v>8</v>
      </c>
      <c r="C8" s="638" t="s">
        <v>10</v>
      </c>
      <c r="D8" s="639"/>
      <c r="E8" s="27">
        <v>39.799999999999997</v>
      </c>
      <c r="F8" s="434">
        <v>5252</v>
      </c>
      <c r="G8" s="423">
        <f t="shared" ref="G8:G11" si="11">E8*F8</f>
        <v>209029.59999999998</v>
      </c>
      <c r="H8" s="31" t="s">
        <v>40</v>
      </c>
      <c r="I8" s="432">
        <v>17</v>
      </c>
      <c r="J8" s="29">
        <v>1500</v>
      </c>
      <c r="K8" s="12">
        <f t="shared" si="1"/>
        <v>88.235294117647058</v>
      </c>
      <c r="L8" s="432">
        <v>17</v>
      </c>
      <c r="M8" s="13">
        <f t="shared" ref="M8:M11" si="12">F8/V8*60</f>
        <v>1432.3636363636363</v>
      </c>
      <c r="N8" s="12">
        <f t="shared" si="3"/>
        <v>84.256684491978604</v>
      </c>
      <c r="O8" s="14">
        <f t="shared" si="4"/>
        <v>0</v>
      </c>
      <c r="P8" s="15">
        <f t="shared" si="5"/>
        <v>-3.9786096256684544</v>
      </c>
      <c r="Q8" s="428">
        <f t="shared" si="6"/>
        <v>0.95490909090909082</v>
      </c>
      <c r="R8" s="616">
        <f>Q12</f>
        <v>0.95693641815267594</v>
      </c>
      <c r="S8" s="32">
        <v>8.3333333333333329E-2</v>
      </c>
      <c r="T8" s="32">
        <v>0.2361111111111111</v>
      </c>
      <c r="U8" s="423"/>
      <c r="V8" s="433">
        <f t="shared" ref="V8:V11" si="13">(T8-S8)*24*60</f>
        <v>220.00000000000003</v>
      </c>
      <c r="W8" s="16">
        <f>T8</f>
        <v>0.2361111111111111</v>
      </c>
      <c r="X8" s="16">
        <f>S9</f>
        <v>0.25624999999999998</v>
      </c>
      <c r="Y8" s="16"/>
      <c r="Z8" s="16"/>
      <c r="AA8" s="612"/>
      <c r="AB8" s="612"/>
      <c r="AC8" s="136">
        <v>4</v>
      </c>
      <c r="AD8" s="18"/>
      <c r="AE8" s="14">
        <f t="shared" si="8"/>
        <v>-67.63636363636374</v>
      </c>
      <c r="AF8" s="428">
        <f t="shared" si="9"/>
        <v>0.95490909090909082</v>
      </c>
      <c r="AG8" s="616">
        <f>AF12</f>
        <v>0.95693641815267594</v>
      </c>
    </row>
    <row r="9" spans="1:33" ht="15.75" customHeight="1">
      <c r="A9" s="640" t="s">
        <v>175</v>
      </c>
      <c r="B9" s="27" t="s">
        <v>8</v>
      </c>
      <c r="C9" s="638" t="s">
        <v>63</v>
      </c>
      <c r="D9" s="639"/>
      <c r="E9" s="27">
        <v>39.46</v>
      </c>
      <c r="F9" s="434">
        <v>2656</v>
      </c>
      <c r="G9" s="423">
        <f t="shared" si="11"/>
        <v>104805.76000000001</v>
      </c>
      <c r="H9" s="31" t="s">
        <v>40</v>
      </c>
      <c r="I9" s="432">
        <v>15</v>
      </c>
      <c r="J9" s="29">
        <v>1500</v>
      </c>
      <c r="K9" s="12">
        <f t="shared" si="1"/>
        <v>100</v>
      </c>
      <c r="L9" s="432">
        <v>15</v>
      </c>
      <c r="M9" s="13">
        <f t="shared" si="12"/>
        <v>1435.6756756756756</v>
      </c>
      <c r="N9" s="12">
        <f t="shared" si="3"/>
        <v>95.711711711711715</v>
      </c>
      <c r="O9" s="14">
        <f t="shared" si="4"/>
        <v>0</v>
      </c>
      <c r="P9" s="15">
        <f t="shared" si="5"/>
        <v>-4.2882882882882853</v>
      </c>
      <c r="Q9" s="428">
        <f t="shared" si="6"/>
        <v>0.95711711711711711</v>
      </c>
      <c r="R9" s="616"/>
      <c r="S9" s="32">
        <v>0.25624999999999998</v>
      </c>
      <c r="T9" s="32">
        <v>0.33333333333333331</v>
      </c>
      <c r="U9" s="423">
        <f t="shared" ref="U9:U11" si="14">IF(S9=TIME(17,0,0),"",(S9-T8)*24*60)</f>
        <v>28.999999999999979</v>
      </c>
      <c r="V9" s="433">
        <f t="shared" si="13"/>
        <v>111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-64.32432432432438</v>
      </c>
      <c r="AF9" s="428">
        <f t="shared" si="9"/>
        <v>0.95711711711711711</v>
      </c>
      <c r="AG9" s="616"/>
    </row>
    <row r="10" spans="1:33" ht="15.75" customHeight="1">
      <c r="A10" s="640" t="s">
        <v>175</v>
      </c>
      <c r="B10" s="27" t="s">
        <v>8</v>
      </c>
      <c r="C10" s="638" t="s">
        <v>74</v>
      </c>
      <c r="D10" s="639"/>
      <c r="E10" s="27">
        <v>39.520000000000003</v>
      </c>
      <c r="F10" s="434">
        <v>2115</v>
      </c>
      <c r="G10" s="423">
        <f t="shared" si="11"/>
        <v>83584.800000000003</v>
      </c>
      <c r="H10" s="31" t="s">
        <v>40</v>
      </c>
      <c r="I10" s="432">
        <v>19</v>
      </c>
      <c r="J10" s="29">
        <v>1500</v>
      </c>
      <c r="K10" s="12">
        <f t="shared" si="1"/>
        <v>78.94736842105263</v>
      </c>
      <c r="L10" s="432">
        <v>19</v>
      </c>
      <c r="M10" s="13">
        <f t="shared" si="12"/>
        <v>1442.0454545454545</v>
      </c>
      <c r="N10" s="12">
        <f t="shared" si="3"/>
        <v>75.897129186602868</v>
      </c>
      <c r="O10" s="14">
        <f t="shared" si="4"/>
        <v>0</v>
      </c>
      <c r="P10" s="15">
        <f t="shared" si="5"/>
        <v>-3.0502392344497622</v>
      </c>
      <c r="Q10" s="428">
        <f t="shared" si="6"/>
        <v>0.96136363636363631</v>
      </c>
      <c r="R10" s="616"/>
      <c r="S10" s="32">
        <v>0.33819444444444441</v>
      </c>
      <c r="T10" s="32">
        <v>0.39930555555555552</v>
      </c>
      <c r="U10" s="423">
        <f t="shared" si="14"/>
        <v>6.9999999999999751</v>
      </c>
      <c r="V10" s="433">
        <f t="shared" si="13"/>
        <v>88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-57.954545454545496</v>
      </c>
      <c r="AF10" s="428">
        <f t="shared" si="9"/>
        <v>0.96136363636363631</v>
      </c>
      <c r="AG10" s="616"/>
    </row>
    <row r="11" spans="1:33" ht="15.75" customHeight="1">
      <c r="A11" s="640" t="s">
        <v>2225</v>
      </c>
      <c r="B11" s="27" t="s">
        <v>8</v>
      </c>
      <c r="C11" s="638" t="s">
        <v>9</v>
      </c>
      <c r="D11" s="639"/>
      <c r="E11" s="27">
        <v>39.619999999999997</v>
      </c>
      <c r="F11" s="434">
        <v>3889</v>
      </c>
      <c r="G11" s="423">
        <f t="shared" si="11"/>
        <v>154082.18</v>
      </c>
      <c r="H11" s="31" t="s">
        <v>40</v>
      </c>
      <c r="I11" s="432">
        <v>19</v>
      </c>
      <c r="J11" s="29">
        <v>1500</v>
      </c>
      <c r="K11" s="12">
        <f t="shared" si="1"/>
        <v>78.94736842105263</v>
      </c>
      <c r="L11" s="432">
        <v>19</v>
      </c>
      <c r="M11" s="13">
        <f t="shared" si="12"/>
        <v>1431.5337423312885</v>
      </c>
      <c r="N11" s="12">
        <f t="shared" si="3"/>
        <v>75.343881175330978</v>
      </c>
      <c r="O11" s="14">
        <f t="shared" si="4"/>
        <v>0</v>
      </c>
      <c r="P11" s="15">
        <f t="shared" si="5"/>
        <v>-3.6034872457216522</v>
      </c>
      <c r="Q11" s="428">
        <f t="shared" si="6"/>
        <v>0.95435582822085907</v>
      </c>
      <c r="R11" s="616"/>
      <c r="S11" s="32">
        <v>0.40416666666666662</v>
      </c>
      <c r="T11" s="32">
        <v>0.51736111111111105</v>
      </c>
      <c r="U11" s="423">
        <f t="shared" si="14"/>
        <v>6.9999999999999751</v>
      </c>
      <c r="V11" s="433">
        <f t="shared" si="13"/>
        <v>162.99999999999997</v>
      </c>
      <c r="W11" s="16"/>
      <c r="X11" s="16"/>
      <c r="Y11" s="16"/>
      <c r="Z11" s="16"/>
      <c r="AA11" s="607"/>
      <c r="AB11" s="608"/>
      <c r="AC11" s="136"/>
      <c r="AD11" s="18"/>
      <c r="AE11" s="14">
        <f t="shared" si="8"/>
        <v>-68.466257668711478</v>
      </c>
      <c r="AF11" s="428">
        <f t="shared" si="9"/>
        <v>0.95435582822085896</v>
      </c>
      <c r="AG11" s="616"/>
    </row>
    <row r="12" spans="1:33" ht="16.5" customHeight="1">
      <c r="A12" s="640" t="s">
        <v>2225</v>
      </c>
      <c r="B12" s="27" t="s">
        <v>186</v>
      </c>
      <c r="C12" s="658"/>
      <c r="D12" s="658"/>
      <c r="E12" s="429"/>
      <c r="F12" s="29"/>
      <c r="G12" s="13"/>
      <c r="H12" s="434"/>
      <c r="I12" s="21">
        <v>17.5</v>
      </c>
      <c r="J12" s="29">
        <v>1500</v>
      </c>
      <c r="K12" s="12">
        <f t="shared" si="1"/>
        <v>85.714285714285708</v>
      </c>
      <c r="L12" s="21">
        <v>17.5</v>
      </c>
      <c r="M12" s="13">
        <f>AVERAGE(M8:M11)</f>
        <v>1435.4046272290138</v>
      </c>
      <c r="N12" s="12">
        <f t="shared" si="3"/>
        <v>82.023121555943646</v>
      </c>
      <c r="O12" s="14">
        <f t="shared" si="4"/>
        <v>0</v>
      </c>
      <c r="P12" s="15">
        <f t="shared" si="5"/>
        <v>-3.6911641583420618</v>
      </c>
      <c r="Q12" s="428">
        <f t="shared" si="6"/>
        <v>0.95693641815267594</v>
      </c>
      <c r="R12" s="616"/>
      <c r="S12" s="32"/>
      <c r="T12" s="32"/>
      <c r="U12" s="12"/>
      <c r="V12" s="433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-64.59537277098616</v>
      </c>
      <c r="AF12" s="428">
        <f t="shared" si="9"/>
        <v>0.95693641815267594</v>
      </c>
      <c r="AG12" s="616"/>
    </row>
    <row r="13" spans="1:33" ht="16.5" customHeight="1">
      <c r="A13" s="636" t="s">
        <v>278</v>
      </c>
      <c r="B13" s="434" t="s">
        <v>1134</v>
      </c>
      <c r="C13" s="659" t="s">
        <v>1035</v>
      </c>
      <c r="D13" s="659"/>
      <c r="E13" s="27">
        <v>31.11</v>
      </c>
      <c r="F13" s="434">
        <v>2882</v>
      </c>
      <c r="G13" s="423">
        <f t="shared" ref="G13:G19" si="15">E13*F13</f>
        <v>89659.02</v>
      </c>
      <c r="H13" s="31" t="s">
        <v>40</v>
      </c>
      <c r="I13" s="432">
        <v>14</v>
      </c>
      <c r="J13" s="29">
        <v>2000</v>
      </c>
      <c r="K13" s="12">
        <f t="shared" si="1"/>
        <v>142.85714285714286</v>
      </c>
      <c r="L13" s="432">
        <v>14</v>
      </c>
      <c r="M13" s="13">
        <f t="shared" ref="M13:M19" si="16">F13/V13*60</f>
        <v>1921.3333333333339</v>
      </c>
      <c r="N13" s="12">
        <f t="shared" si="3"/>
        <v>137.23809523809527</v>
      </c>
      <c r="O13" s="14">
        <f t="shared" si="4"/>
        <v>0</v>
      </c>
      <c r="P13" s="15">
        <f t="shared" si="5"/>
        <v>-5.619047619047592</v>
      </c>
      <c r="Q13" s="428">
        <f t="shared" si="6"/>
        <v>0.96066666666666689</v>
      </c>
      <c r="R13" s="616">
        <f>Q20</f>
        <v>0.96124499812312292</v>
      </c>
      <c r="S13" s="32">
        <v>8.3333333333333329E-2</v>
      </c>
      <c r="T13" s="32">
        <v>0.14583333333333331</v>
      </c>
      <c r="U13" s="423"/>
      <c r="V13" s="433">
        <f t="shared" ref="V13:V19" si="17">(T13-S13)*24*60</f>
        <v>89.999999999999972</v>
      </c>
      <c r="W13" s="16">
        <f>T13</f>
        <v>0.14583333333333331</v>
      </c>
      <c r="X13" s="16">
        <f>S14</f>
        <v>0.16388888888888886</v>
      </c>
      <c r="Y13" s="20"/>
      <c r="Z13" s="20"/>
      <c r="AA13" s="612"/>
      <c r="AB13" s="612"/>
      <c r="AC13" s="136">
        <v>7</v>
      </c>
      <c r="AD13" s="18"/>
      <c r="AE13" s="14">
        <f t="shared" si="8"/>
        <v>-78.66666666666606</v>
      </c>
      <c r="AF13" s="428">
        <f t="shared" si="9"/>
        <v>0.960666666666667</v>
      </c>
      <c r="AG13" s="616">
        <f>AF20</f>
        <v>0.96124499812312303</v>
      </c>
    </row>
    <row r="14" spans="1:33" ht="16.5" customHeight="1">
      <c r="A14" s="637" t="s">
        <v>2226</v>
      </c>
      <c r="B14" s="434" t="s">
        <v>11</v>
      </c>
      <c r="C14" s="659" t="s">
        <v>67</v>
      </c>
      <c r="D14" s="659"/>
      <c r="E14" s="27">
        <v>38.619999999999997</v>
      </c>
      <c r="F14" s="434">
        <v>1904</v>
      </c>
      <c r="G14" s="423">
        <f t="shared" si="15"/>
        <v>73532.479999999996</v>
      </c>
      <c r="H14" s="31" t="s">
        <v>40</v>
      </c>
      <c r="I14" s="432">
        <v>24</v>
      </c>
      <c r="J14" s="29">
        <v>1500</v>
      </c>
      <c r="K14" s="12">
        <f t="shared" si="1"/>
        <v>62.5</v>
      </c>
      <c r="L14" s="432">
        <v>24</v>
      </c>
      <c r="M14" s="13">
        <f t="shared" si="16"/>
        <v>1428</v>
      </c>
      <c r="N14" s="12">
        <f t="shared" si="3"/>
        <v>59.5</v>
      </c>
      <c r="O14" s="14">
        <f t="shared" si="4"/>
        <v>0</v>
      </c>
      <c r="P14" s="15">
        <f t="shared" si="5"/>
        <v>-3</v>
      </c>
      <c r="Q14" s="428">
        <f t="shared" si="6"/>
        <v>0.95199999999999996</v>
      </c>
      <c r="R14" s="616"/>
      <c r="S14" s="32">
        <v>0.16388888888888886</v>
      </c>
      <c r="T14" s="32">
        <v>0.21944444444444441</v>
      </c>
      <c r="U14" s="423">
        <f t="shared" ref="U14:U19" si="18">IF(S14=TIME(17,0,0),"",(S14-T13)*24*60)</f>
        <v>25.999999999999986</v>
      </c>
      <c r="V14" s="433">
        <f t="shared" si="17"/>
        <v>80</v>
      </c>
      <c r="W14" s="16"/>
      <c r="X14" s="16"/>
      <c r="Y14" s="16"/>
      <c r="Z14" s="16"/>
      <c r="AA14" s="612"/>
      <c r="AB14" s="612"/>
      <c r="AC14" s="136"/>
      <c r="AD14" s="18"/>
      <c r="AE14" s="14">
        <f t="shared" si="8"/>
        <v>-72</v>
      </c>
      <c r="AF14" s="428">
        <f t="shared" si="9"/>
        <v>0.95199999999999996</v>
      </c>
      <c r="AG14" s="616"/>
    </row>
    <row r="15" spans="1:33" ht="16.5" customHeight="1">
      <c r="A15" s="637" t="s">
        <v>2226</v>
      </c>
      <c r="B15" s="434" t="s">
        <v>11</v>
      </c>
      <c r="C15" s="659" t="s">
        <v>12</v>
      </c>
      <c r="D15" s="659"/>
      <c r="E15" s="27">
        <v>41</v>
      </c>
      <c r="F15" s="434">
        <v>1535</v>
      </c>
      <c r="G15" s="423">
        <f t="shared" si="15"/>
        <v>62935</v>
      </c>
      <c r="H15" s="31" t="s">
        <v>40</v>
      </c>
      <c r="I15" s="432">
        <v>26</v>
      </c>
      <c r="J15" s="29">
        <v>1500</v>
      </c>
      <c r="K15" s="12">
        <f t="shared" si="1"/>
        <v>57.692307692307693</v>
      </c>
      <c r="L15" s="432">
        <v>26</v>
      </c>
      <c r="M15" s="13">
        <f t="shared" si="16"/>
        <v>1439.0624999999998</v>
      </c>
      <c r="N15" s="12">
        <f t="shared" si="3"/>
        <v>55.348557692307686</v>
      </c>
      <c r="O15" s="14">
        <f t="shared" si="4"/>
        <v>0</v>
      </c>
      <c r="P15" s="15">
        <f t="shared" si="5"/>
        <v>-2.3437500000000071</v>
      </c>
      <c r="Q15" s="428">
        <f t="shared" si="6"/>
        <v>0.95937499999999987</v>
      </c>
      <c r="R15" s="616"/>
      <c r="S15" s="32">
        <v>0.22499999999999998</v>
      </c>
      <c r="T15" s="32">
        <v>0.26944444444444443</v>
      </c>
      <c r="U15" s="423">
        <f t="shared" si="18"/>
        <v>8.0000000000000107</v>
      </c>
      <c r="V15" s="433">
        <f t="shared" si="17"/>
        <v>64.000000000000014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-60.937500000000227</v>
      </c>
      <c r="AF15" s="428">
        <f t="shared" si="9"/>
        <v>0.95937499999999987</v>
      </c>
      <c r="AG15" s="616"/>
    </row>
    <row r="16" spans="1:33" ht="16.5" customHeight="1">
      <c r="A16" s="637" t="s">
        <v>2226</v>
      </c>
      <c r="B16" s="434" t="s">
        <v>5</v>
      </c>
      <c r="C16" s="659" t="s">
        <v>66</v>
      </c>
      <c r="D16" s="659"/>
      <c r="E16" s="27">
        <v>37.03</v>
      </c>
      <c r="F16" s="434">
        <v>2872</v>
      </c>
      <c r="G16" s="423">
        <f t="shared" si="15"/>
        <v>106350.16</v>
      </c>
      <c r="H16" s="31" t="s">
        <v>40</v>
      </c>
      <c r="I16" s="432">
        <v>13</v>
      </c>
      <c r="J16" s="29">
        <v>1500</v>
      </c>
      <c r="K16" s="12">
        <f t="shared" si="1"/>
        <v>115.38461538461539</v>
      </c>
      <c r="L16" s="432">
        <v>13</v>
      </c>
      <c r="M16" s="13">
        <f t="shared" si="16"/>
        <v>1436.0000000000005</v>
      </c>
      <c r="N16" s="12">
        <f t="shared" si="3"/>
        <v>110.4615384615385</v>
      </c>
      <c r="O16" s="14">
        <f t="shared" si="4"/>
        <v>0</v>
      </c>
      <c r="P16" s="15">
        <f t="shared" si="5"/>
        <v>-4.9230769230768914</v>
      </c>
      <c r="Q16" s="428">
        <f t="shared" si="6"/>
        <v>0.95733333333333359</v>
      </c>
      <c r="R16" s="616"/>
      <c r="S16" s="32">
        <v>0.27430555555555552</v>
      </c>
      <c r="T16" s="32">
        <v>0.35763888888888884</v>
      </c>
      <c r="U16" s="423">
        <f t="shared" si="18"/>
        <v>6.9999999999999751</v>
      </c>
      <c r="V16" s="433">
        <f t="shared" si="17"/>
        <v>119.99999999999997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-63.999999999999545</v>
      </c>
      <c r="AF16" s="428">
        <f t="shared" si="9"/>
        <v>0.95733333333333359</v>
      </c>
      <c r="AG16" s="616"/>
    </row>
    <row r="17" spans="1:33" ht="16.5" customHeight="1">
      <c r="A17" s="637" t="s">
        <v>2226</v>
      </c>
      <c r="B17" s="434" t="s">
        <v>5</v>
      </c>
      <c r="C17" s="659" t="s">
        <v>6</v>
      </c>
      <c r="D17" s="659"/>
      <c r="E17" s="27">
        <v>50.67</v>
      </c>
      <c r="F17" s="434">
        <v>1203</v>
      </c>
      <c r="G17" s="423">
        <f t="shared" si="15"/>
        <v>60956.01</v>
      </c>
      <c r="H17" s="31" t="s">
        <v>40</v>
      </c>
      <c r="I17" s="432">
        <v>17</v>
      </c>
      <c r="J17" s="29">
        <v>2000</v>
      </c>
      <c r="K17" s="12">
        <f t="shared" si="1"/>
        <v>117.64705882352941</v>
      </c>
      <c r="L17" s="432">
        <v>17</v>
      </c>
      <c r="M17" s="13">
        <f t="shared" si="16"/>
        <v>1950.8108108108092</v>
      </c>
      <c r="N17" s="12">
        <f t="shared" si="3"/>
        <v>114.75357710651819</v>
      </c>
      <c r="O17" s="14">
        <f t="shared" si="4"/>
        <v>0</v>
      </c>
      <c r="P17" s="15">
        <f t="shared" si="5"/>
        <v>-2.8934817170112126</v>
      </c>
      <c r="Q17" s="428">
        <f t="shared" si="6"/>
        <v>0.97540540540540466</v>
      </c>
      <c r="R17" s="616"/>
      <c r="S17" s="32">
        <v>0.70833333333333337</v>
      </c>
      <c r="T17" s="32">
        <v>0.73402777777777783</v>
      </c>
      <c r="U17" s="423" t="str">
        <f t="shared" si="18"/>
        <v/>
      </c>
      <c r="V17" s="433">
        <f t="shared" si="17"/>
        <v>37.000000000000028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-49.189189189190756</v>
      </c>
      <c r="AF17" s="428">
        <f t="shared" si="9"/>
        <v>0.97540540540540466</v>
      </c>
      <c r="AG17" s="616"/>
    </row>
    <row r="18" spans="1:33" ht="16.5" customHeight="1">
      <c r="A18" s="637" t="s">
        <v>278</v>
      </c>
      <c r="B18" s="434" t="s">
        <v>5</v>
      </c>
      <c r="C18" s="430" t="s">
        <v>615</v>
      </c>
      <c r="D18" s="431"/>
      <c r="E18" s="27">
        <v>54.5</v>
      </c>
      <c r="F18" s="434">
        <v>1808</v>
      </c>
      <c r="G18" s="423">
        <f t="shared" si="15"/>
        <v>98536</v>
      </c>
      <c r="H18" s="31" t="s">
        <v>40</v>
      </c>
      <c r="I18" s="432">
        <v>20</v>
      </c>
      <c r="J18" s="29">
        <v>1500</v>
      </c>
      <c r="K18" s="12">
        <f t="shared" si="1"/>
        <v>75</v>
      </c>
      <c r="L18" s="432">
        <v>20</v>
      </c>
      <c r="M18" s="13">
        <f t="shared" si="16"/>
        <v>1446.399999999999</v>
      </c>
      <c r="N18" s="12">
        <f t="shared" si="3"/>
        <v>72.319999999999951</v>
      </c>
      <c r="O18" s="14">
        <f t="shared" si="4"/>
        <v>0</v>
      </c>
      <c r="P18" s="15">
        <f t="shared" si="5"/>
        <v>-2.6800000000000495</v>
      </c>
      <c r="Q18" s="428">
        <f t="shared" si="6"/>
        <v>0.96426666666666605</v>
      </c>
      <c r="R18" s="616"/>
      <c r="S18" s="32">
        <v>0.73958333333333337</v>
      </c>
      <c r="T18" s="32">
        <v>0.79166666666666674</v>
      </c>
      <c r="U18" s="423">
        <f t="shared" si="18"/>
        <v>7.9999999999999716</v>
      </c>
      <c r="V18" s="433">
        <f t="shared" si="17"/>
        <v>75.000000000000057</v>
      </c>
      <c r="W18" s="16"/>
      <c r="X18" s="16"/>
      <c r="Y18" s="19"/>
      <c r="Z18" s="19"/>
      <c r="AA18" s="426"/>
      <c r="AB18" s="427"/>
      <c r="AC18" s="136"/>
      <c r="AD18" s="18"/>
      <c r="AE18" s="14">
        <f t="shared" si="8"/>
        <v>-53.600000000001046</v>
      </c>
      <c r="AF18" s="428">
        <f t="shared" si="9"/>
        <v>0.96426666666666594</v>
      </c>
      <c r="AG18" s="616"/>
    </row>
    <row r="19" spans="1:33" ht="16.5" customHeight="1">
      <c r="A19" s="637" t="s">
        <v>278</v>
      </c>
      <c r="B19" s="434" t="s">
        <v>5</v>
      </c>
      <c r="C19" s="430" t="s">
        <v>18</v>
      </c>
      <c r="D19" s="431"/>
      <c r="E19" s="27">
        <v>50.49</v>
      </c>
      <c r="F19" s="434">
        <v>1435</v>
      </c>
      <c r="G19" s="423">
        <f t="shared" si="15"/>
        <v>72453.150000000009</v>
      </c>
      <c r="H19" s="31" t="s">
        <v>40</v>
      </c>
      <c r="I19" s="432">
        <v>15</v>
      </c>
      <c r="J19" s="29">
        <v>2000</v>
      </c>
      <c r="K19" s="12">
        <f t="shared" si="1"/>
        <v>133.33333333333334</v>
      </c>
      <c r="L19" s="432">
        <v>15</v>
      </c>
      <c r="M19" s="13">
        <f t="shared" si="16"/>
        <v>1913.3333333333333</v>
      </c>
      <c r="N19" s="12">
        <f t="shared" si="3"/>
        <v>127.55555555555556</v>
      </c>
      <c r="O19" s="14">
        <f t="shared" si="4"/>
        <v>0</v>
      </c>
      <c r="P19" s="15">
        <f t="shared" si="5"/>
        <v>-5.7777777777777857</v>
      </c>
      <c r="Q19" s="428">
        <f t="shared" si="6"/>
        <v>0.95666666666666667</v>
      </c>
      <c r="R19" s="616"/>
      <c r="S19" s="32">
        <v>0.79583333333333339</v>
      </c>
      <c r="T19" s="32">
        <v>0.82708333333333339</v>
      </c>
      <c r="U19" s="423">
        <f t="shared" si="18"/>
        <v>5.9999999999999787</v>
      </c>
      <c r="V19" s="433">
        <f t="shared" si="17"/>
        <v>45</v>
      </c>
      <c r="W19" s="16"/>
      <c r="X19" s="16"/>
      <c r="Y19" s="19"/>
      <c r="Z19" s="19"/>
      <c r="AA19" s="426"/>
      <c r="AB19" s="427"/>
      <c r="AC19" s="136"/>
      <c r="AD19" s="18"/>
      <c r="AE19" s="14">
        <f t="shared" si="8"/>
        <v>-86.666666666666742</v>
      </c>
      <c r="AF19" s="428">
        <f t="shared" si="9"/>
        <v>0.95666666666666667</v>
      </c>
      <c r="AG19" s="616"/>
    </row>
    <row r="20" spans="1:33" ht="16.5" customHeight="1">
      <c r="A20" s="637" t="s">
        <v>278</v>
      </c>
      <c r="B20" s="27" t="s">
        <v>186</v>
      </c>
      <c r="C20" s="658"/>
      <c r="D20" s="658"/>
      <c r="E20" s="429"/>
      <c r="F20" s="28"/>
      <c r="G20" s="12"/>
      <c r="H20" s="434"/>
      <c r="I20" s="21">
        <v>18.428571428571427</v>
      </c>
      <c r="J20" s="29">
        <v>1714.2857142857142</v>
      </c>
      <c r="K20" s="12">
        <f t="shared" si="1"/>
        <v>93.023255813953497</v>
      </c>
      <c r="L20" s="21">
        <v>18.428571428571427</v>
      </c>
      <c r="M20" s="13">
        <f>AVERAGE(M13:M19)</f>
        <v>1647.8485682110679</v>
      </c>
      <c r="N20" s="12">
        <f t="shared" si="3"/>
        <v>89.41813936029051</v>
      </c>
      <c r="O20" s="14">
        <f t="shared" si="4"/>
        <v>0</v>
      </c>
      <c r="P20" s="15">
        <f t="shared" si="5"/>
        <v>-3.6051164536629869</v>
      </c>
      <c r="Q20" s="428">
        <f t="shared" si="6"/>
        <v>0.96124499812312292</v>
      </c>
      <c r="R20" s="616"/>
      <c r="S20" s="32"/>
      <c r="T20" s="32"/>
      <c r="U20" s="423"/>
      <c r="V20" s="433"/>
      <c r="W20" s="12"/>
      <c r="X20" s="12"/>
      <c r="Y20" s="22">
        <f>SUM(Y13:Y19)</f>
        <v>0</v>
      </c>
      <c r="Z20" s="22">
        <f>SUM(Z13:Z19)</f>
        <v>0</v>
      </c>
      <c r="AA20" s="611"/>
      <c r="AB20" s="611"/>
      <c r="AC20" s="22">
        <v>7</v>
      </c>
      <c r="AD20" s="22">
        <f>SUM(AD13:AD19)</f>
        <v>0</v>
      </c>
      <c r="AE20" s="14">
        <f t="shared" si="8"/>
        <v>-66.437146074646307</v>
      </c>
      <c r="AF20" s="428">
        <f t="shared" si="9"/>
        <v>0.96124499812312303</v>
      </c>
      <c r="AG20" s="616"/>
    </row>
    <row r="21" spans="1:33" ht="15.75" customHeight="1">
      <c r="A21" s="634" t="s">
        <v>179</v>
      </c>
      <c r="B21" s="27" t="s">
        <v>5</v>
      </c>
      <c r="C21" s="659" t="s">
        <v>16</v>
      </c>
      <c r="D21" s="659"/>
      <c r="E21" s="27">
        <v>50.67</v>
      </c>
      <c r="F21" s="434">
        <v>1412</v>
      </c>
      <c r="G21" s="423">
        <f t="shared" ref="G21:G26" si="19">E21*F21</f>
        <v>71546.040000000008</v>
      </c>
      <c r="H21" s="31" t="s">
        <v>40</v>
      </c>
      <c r="I21" s="432">
        <v>17</v>
      </c>
      <c r="J21" s="29">
        <v>2000</v>
      </c>
      <c r="K21" s="12">
        <f t="shared" si="1"/>
        <v>117.64705882352941</v>
      </c>
      <c r="L21" s="432">
        <v>17</v>
      </c>
      <c r="M21" s="13">
        <f t="shared" ref="M21:M26" si="20">F21/V21*60</f>
        <v>1925.4545454545455</v>
      </c>
      <c r="N21" s="12">
        <f t="shared" si="3"/>
        <v>113.2620320855615</v>
      </c>
      <c r="O21" s="14">
        <f t="shared" si="4"/>
        <v>0</v>
      </c>
      <c r="P21" s="15">
        <f t="shared" si="5"/>
        <v>-4.3850267379679053</v>
      </c>
      <c r="Q21" s="428">
        <f t="shared" si="6"/>
        <v>0.96272727272727276</v>
      </c>
      <c r="R21" s="616">
        <f>Q27</f>
        <v>0.96370761183261178</v>
      </c>
      <c r="S21" s="32">
        <v>0.20833333333333334</v>
      </c>
      <c r="T21" s="32">
        <v>0.2388888888888889</v>
      </c>
      <c r="U21" s="423"/>
      <c r="V21" s="433">
        <f t="shared" ref="V21:V26" si="21">(T21-S21)*24*60</f>
        <v>44</v>
      </c>
      <c r="W21" s="16"/>
      <c r="X21" s="16"/>
      <c r="Y21" s="20"/>
      <c r="Z21" s="20"/>
      <c r="AA21" s="612"/>
      <c r="AB21" s="612"/>
      <c r="AC21" s="136">
        <v>6</v>
      </c>
      <c r="AD21" s="18"/>
      <c r="AE21" s="14">
        <f t="shared" si="8"/>
        <v>-74.545454545454504</v>
      </c>
      <c r="AF21" s="428">
        <f t="shared" si="9"/>
        <v>0.96272727272727276</v>
      </c>
      <c r="AG21" s="616">
        <f>AF27</f>
        <v>0.96370761183261189</v>
      </c>
    </row>
    <row r="22" spans="1:33" ht="15.75" customHeight="1">
      <c r="A22" s="635" t="s">
        <v>2227</v>
      </c>
      <c r="B22" s="27" t="s">
        <v>5</v>
      </c>
      <c r="C22" s="659" t="s">
        <v>17</v>
      </c>
      <c r="D22" s="659"/>
      <c r="E22" s="27">
        <v>57.73</v>
      </c>
      <c r="F22" s="434">
        <v>1816</v>
      </c>
      <c r="G22" s="423">
        <f t="shared" si="19"/>
        <v>104837.68</v>
      </c>
      <c r="H22" s="31" t="s">
        <v>40</v>
      </c>
      <c r="I22" s="432">
        <v>14</v>
      </c>
      <c r="J22" s="29">
        <v>2000</v>
      </c>
      <c r="K22" s="12">
        <f t="shared" si="1"/>
        <v>142.85714285714286</v>
      </c>
      <c r="L22" s="432">
        <v>14</v>
      </c>
      <c r="M22" s="13">
        <f t="shared" si="20"/>
        <v>1911.5789473684226</v>
      </c>
      <c r="N22" s="12">
        <f t="shared" si="3"/>
        <v>136.54135338345876</v>
      </c>
      <c r="O22" s="14">
        <f t="shared" si="4"/>
        <v>0</v>
      </c>
      <c r="P22" s="15">
        <f t="shared" si="5"/>
        <v>-6.3157894736841058</v>
      </c>
      <c r="Q22" s="428">
        <f t="shared" si="6"/>
        <v>0.9557894736842113</v>
      </c>
      <c r="R22" s="616"/>
      <c r="S22" s="32">
        <v>0.24375000000000002</v>
      </c>
      <c r="T22" s="32">
        <v>0.28333333333333333</v>
      </c>
      <c r="U22" s="423">
        <f t="shared" ref="U22:U26" si="22">IF(S22=TIME(17,0,0),"",(S22-T21)*24*60)</f>
        <v>7.0000000000000151</v>
      </c>
      <c r="V22" s="433">
        <f t="shared" si="21"/>
        <v>56.999999999999957</v>
      </c>
      <c r="W22" s="16"/>
      <c r="X22" s="423"/>
      <c r="Y22" s="423"/>
      <c r="Z22" s="423"/>
      <c r="AA22" s="612"/>
      <c r="AB22" s="612"/>
      <c r="AC22" s="136"/>
      <c r="AD22" s="18"/>
      <c r="AE22" s="14">
        <f t="shared" si="8"/>
        <v>-88.421052631577368</v>
      </c>
      <c r="AF22" s="428">
        <f t="shared" si="9"/>
        <v>0.9557894736842113</v>
      </c>
      <c r="AG22" s="616"/>
    </row>
    <row r="23" spans="1:33" ht="15.75" customHeight="1">
      <c r="A23" s="635" t="s">
        <v>2227</v>
      </c>
      <c r="B23" s="27" t="s">
        <v>5</v>
      </c>
      <c r="C23" s="659" t="s">
        <v>60</v>
      </c>
      <c r="D23" s="659"/>
      <c r="E23" s="27">
        <v>53.27</v>
      </c>
      <c r="F23" s="434">
        <v>1234</v>
      </c>
      <c r="G23" s="423">
        <f t="shared" si="19"/>
        <v>65735.180000000008</v>
      </c>
      <c r="H23" s="31" t="s">
        <v>40</v>
      </c>
      <c r="I23" s="432">
        <v>16</v>
      </c>
      <c r="J23" s="29">
        <v>2000</v>
      </c>
      <c r="K23" s="12">
        <f t="shared" si="1"/>
        <v>125</v>
      </c>
      <c r="L23" s="432">
        <v>16</v>
      </c>
      <c r="M23" s="13">
        <f t="shared" si="20"/>
        <v>1948.4210526315776</v>
      </c>
      <c r="N23" s="12">
        <f t="shared" si="3"/>
        <v>121.7763157894736</v>
      </c>
      <c r="O23" s="14">
        <f t="shared" si="4"/>
        <v>0</v>
      </c>
      <c r="P23" s="15">
        <f t="shared" si="5"/>
        <v>-3.2236842105264003</v>
      </c>
      <c r="Q23" s="428">
        <f t="shared" si="6"/>
        <v>0.97421052631578875</v>
      </c>
      <c r="R23" s="616"/>
      <c r="S23" s="32">
        <v>0.28819444444444442</v>
      </c>
      <c r="T23" s="32">
        <v>0.31458333333333333</v>
      </c>
      <c r="U23" s="423">
        <f t="shared" si="22"/>
        <v>6.9999999999999751</v>
      </c>
      <c r="V23" s="433">
        <f t="shared" si="21"/>
        <v>38.000000000000028</v>
      </c>
      <c r="W23" s="16"/>
      <c r="X23" s="423"/>
      <c r="Y23" s="423"/>
      <c r="Z23" s="423"/>
      <c r="AA23" s="612"/>
      <c r="AB23" s="612"/>
      <c r="AC23" s="136"/>
      <c r="AD23" s="18"/>
      <c r="AE23" s="14">
        <f t="shared" si="8"/>
        <v>-51.578947368422405</v>
      </c>
      <c r="AF23" s="428">
        <f t="shared" si="9"/>
        <v>0.97421052631578875</v>
      </c>
      <c r="AG23" s="616"/>
    </row>
    <row r="24" spans="1:33" ht="15.75" customHeight="1">
      <c r="A24" s="635" t="s">
        <v>179</v>
      </c>
      <c r="B24" s="27" t="s">
        <v>5</v>
      </c>
      <c r="C24" s="659" t="s">
        <v>65</v>
      </c>
      <c r="D24" s="659"/>
      <c r="E24" s="27">
        <v>56.43</v>
      </c>
      <c r="F24" s="434">
        <v>1130</v>
      </c>
      <c r="G24" s="423">
        <f t="shared" si="19"/>
        <v>63765.9</v>
      </c>
      <c r="H24" s="31" t="s">
        <v>40</v>
      </c>
      <c r="I24" s="432">
        <v>13</v>
      </c>
      <c r="J24" s="29">
        <v>2000</v>
      </c>
      <c r="K24" s="12">
        <f t="shared" si="1"/>
        <v>153.84615384615384</v>
      </c>
      <c r="L24" s="432">
        <v>13</v>
      </c>
      <c r="M24" s="13">
        <f t="shared" si="20"/>
        <v>1937.1428571428553</v>
      </c>
      <c r="N24" s="12">
        <f t="shared" si="3"/>
        <v>149.01098901098888</v>
      </c>
      <c r="O24" s="14">
        <f t="shared" si="4"/>
        <v>0</v>
      </c>
      <c r="P24" s="15">
        <f t="shared" si="5"/>
        <v>-4.8351648351649601</v>
      </c>
      <c r="Q24" s="428">
        <f t="shared" si="6"/>
        <v>0.96857142857142775</v>
      </c>
      <c r="R24" s="616"/>
      <c r="S24" s="32">
        <v>0.70833333333333337</v>
      </c>
      <c r="T24" s="32">
        <v>0.73263888888888895</v>
      </c>
      <c r="U24" s="423" t="str">
        <f t="shared" si="22"/>
        <v/>
      </c>
      <c r="V24" s="433">
        <f t="shared" si="21"/>
        <v>35.000000000000036</v>
      </c>
      <c r="W24" s="16"/>
      <c r="X24" s="423"/>
      <c r="Y24" s="423"/>
      <c r="Z24" s="423"/>
      <c r="AA24" s="612"/>
      <c r="AB24" s="612"/>
      <c r="AC24" s="136"/>
      <c r="AD24" s="18"/>
      <c r="AE24" s="14">
        <f t="shared" si="8"/>
        <v>-62.857142857144709</v>
      </c>
      <c r="AF24" s="428">
        <f t="shared" si="9"/>
        <v>0.96857142857142764</v>
      </c>
      <c r="AG24" s="616"/>
    </row>
    <row r="25" spans="1:33" ht="15.75" customHeight="1">
      <c r="A25" s="635" t="s">
        <v>179</v>
      </c>
      <c r="B25" s="27" t="s">
        <v>5</v>
      </c>
      <c r="C25" s="659" t="s">
        <v>1322</v>
      </c>
      <c r="D25" s="659"/>
      <c r="E25" s="27">
        <v>54.09</v>
      </c>
      <c r="F25" s="434">
        <v>2303</v>
      </c>
      <c r="G25" s="423">
        <f t="shared" si="19"/>
        <v>124569.27</v>
      </c>
      <c r="H25" s="31" t="s">
        <v>40</v>
      </c>
      <c r="I25" s="432">
        <v>18</v>
      </c>
      <c r="J25" s="29">
        <v>2000</v>
      </c>
      <c r="K25" s="12">
        <f t="shared" si="1"/>
        <v>111.11111111111111</v>
      </c>
      <c r="L25" s="432">
        <v>18</v>
      </c>
      <c r="M25" s="13">
        <f t="shared" si="20"/>
        <v>1919.1666666666652</v>
      </c>
      <c r="N25" s="12">
        <f t="shared" si="3"/>
        <v>106.62037037037028</v>
      </c>
      <c r="O25" s="14">
        <f t="shared" si="4"/>
        <v>0</v>
      </c>
      <c r="P25" s="15">
        <f t="shared" si="5"/>
        <v>-4.4907407407408328</v>
      </c>
      <c r="Q25" s="428">
        <f t="shared" si="6"/>
        <v>0.95958333333333246</v>
      </c>
      <c r="R25" s="616"/>
      <c r="S25" s="32">
        <v>0.73750000000000004</v>
      </c>
      <c r="T25" s="32">
        <v>0.78750000000000009</v>
      </c>
      <c r="U25" s="423">
        <f t="shared" si="22"/>
        <v>6.9999999999999751</v>
      </c>
      <c r="V25" s="433">
        <f t="shared" si="21"/>
        <v>72.000000000000057</v>
      </c>
      <c r="W25" s="16"/>
      <c r="X25" s="16"/>
      <c r="Y25" s="423"/>
      <c r="Z25" s="423"/>
      <c r="AA25" s="612"/>
      <c r="AB25" s="612"/>
      <c r="AC25" s="136"/>
      <c r="AD25" s="18"/>
      <c r="AE25" s="14">
        <f t="shared" si="8"/>
        <v>-80.833333333334849</v>
      </c>
      <c r="AF25" s="428">
        <f t="shared" si="9"/>
        <v>0.95958333333333257</v>
      </c>
      <c r="AG25" s="616"/>
    </row>
    <row r="26" spans="1:33" ht="15.75" customHeight="1">
      <c r="A26" s="635" t="s">
        <v>179</v>
      </c>
      <c r="B26" s="27" t="s">
        <v>5</v>
      </c>
      <c r="C26" s="659" t="s">
        <v>1930</v>
      </c>
      <c r="D26" s="659"/>
      <c r="E26" s="27">
        <v>57.3</v>
      </c>
      <c r="F26" s="434">
        <v>2115</v>
      </c>
      <c r="G26" s="423">
        <f t="shared" si="19"/>
        <v>121189.5</v>
      </c>
      <c r="H26" s="31" t="s">
        <v>40</v>
      </c>
      <c r="I26" s="432">
        <v>16</v>
      </c>
      <c r="J26" s="29">
        <v>2000</v>
      </c>
      <c r="K26" s="12">
        <f t="shared" si="1"/>
        <v>125</v>
      </c>
      <c r="L26" s="432">
        <v>16</v>
      </c>
      <c r="M26" s="13">
        <f t="shared" si="20"/>
        <v>1922.727272727275</v>
      </c>
      <c r="N26" s="12">
        <f t="shared" si="3"/>
        <v>120.17045454545469</v>
      </c>
      <c r="O26" s="14">
        <f t="shared" si="4"/>
        <v>0</v>
      </c>
      <c r="P26" s="15">
        <f t="shared" si="5"/>
        <v>-4.8295454545453111</v>
      </c>
      <c r="Q26" s="428">
        <f t="shared" si="6"/>
        <v>0.96136363636363753</v>
      </c>
      <c r="R26" s="616"/>
      <c r="S26" s="32">
        <v>0.79236111111111118</v>
      </c>
      <c r="T26" s="32">
        <v>0.83819444444444446</v>
      </c>
      <c r="U26" s="423">
        <f t="shared" si="22"/>
        <v>6.9999999999999751</v>
      </c>
      <c r="V26" s="433">
        <f t="shared" si="21"/>
        <v>65.999999999999929</v>
      </c>
      <c r="W26" s="16"/>
      <c r="X26" s="20"/>
      <c r="Y26" s="20"/>
      <c r="Z26" s="20"/>
      <c r="AA26" s="612"/>
      <c r="AB26" s="612"/>
      <c r="AC26" s="136"/>
      <c r="AD26" s="18"/>
      <c r="AE26" s="14">
        <f t="shared" si="8"/>
        <v>-77.272727272724978</v>
      </c>
      <c r="AF26" s="428">
        <f t="shared" si="9"/>
        <v>0.96136363636363753</v>
      </c>
      <c r="AG26" s="616"/>
    </row>
    <row r="27" spans="1:33" ht="15.75" customHeight="1">
      <c r="A27" s="635" t="s">
        <v>2227</v>
      </c>
      <c r="B27" s="27" t="s">
        <v>186</v>
      </c>
      <c r="C27" s="658"/>
      <c r="D27" s="658"/>
      <c r="E27" s="429"/>
      <c r="F27" s="434"/>
      <c r="G27" s="423"/>
      <c r="H27" s="434"/>
      <c r="I27" s="21">
        <v>15.666666666666666</v>
      </c>
      <c r="J27" s="29">
        <v>2000</v>
      </c>
      <c r="K27" s="12">
        <f t="shared" si="1"/>
        <v>127.65957446808511</v>
      </c>
      <c r="L27" s="21">
        <v>15.666666666666666</v>
      </c>
      <c r="M27" s="13">
        <f>AVERAGE(M21:M26)</f>
        <v>1927.4152236652237</v>
      </c>
      <c r="N27" s="12">
        <f t="shared" si="3"/>
        <v>123.02650363820577</v>
      </c>
      <c r="O27" s="14">
        <f t="shared" si="4"/>
        <v>0</v>
      </c>
      <c r="P27" s="15">
        <f t="shared" si="5"/>
        <v>-4.6330708298793439</v>
      </c>
      <c r="Q27" s="428">
        <f t="shared" si="6"/>
        <v>0.96370761183261178</v>
      </c>
      <c r="R27" s="616"/>
      <c r="S27" s="32"/>
      <c r="T27" s="32"/>
      <c r="U27" s="12"/>
      <c r="V27" s="433"/>
      <c r="W27" s="12"/>
      <c r="X27" s="12"/>
      <c r="Y27" s="22">
        <f>SUM(Y21:Y26)</f>
        <v>0</v>
      </c>
      <c r="Z27" s="22">
        <f>SUM(Z21:Z26)</f>
        <v>0</v>
      </c>
      <c r="AA27" s="611"/>
      <c r="AB27" s="611"/>
      <c r="AC27" s="22">
        <v>6</v>
      </c>
      <c r="AD27" s="22">
        <f>SUM(AD21:AD26)</f>
        <v>0</v>
      </c>
      <c r="AE27" s="14">
        <f t="shared" si="8"/>
        <v>-72.584776334776279</v>
      </c>
      <c r="AF27" s="428">
        <f t="shared" si="9"/>
        <v>0.96370761183261189</v>
      </c>
      <c r="AG27" s="616"/>
    </row>
    <row r="28" spans="1:33" ht="15.75" customHeight="1">
      <c r="A28" s="633" t="s">
        <v>374</v>
      </c>
      <c r="B28" s="27" t="s">
        <v>20</v>
      </c>
      <c r="C28" s="659" t="s">
        <v>21</v>
      </c>
      <c r="D28" s="659"/>
      <c r="E28" s="27">
        <v>31.29</v>
      </c>
      <c r="F28" s="434">
        <v>7178</v>
      </c>
      <c r="G28" s="423">
        <f t="shared" ref="G28:G32" si="23">E28*F28</f>
        <v>224599.62</v>
      </c>
      <c r="H28" s="31" t="s">
        <v>40</v>
      </c>
      <c r="I28" s="432">
        <v>18</v>
      </c>
      <c r="J28" s="29">
        <v>2400</v>
      </c>
      <c r="K28" s="12">
        <f t="shared" si="1"/>
        <v>133.33333333333334</v>
      </c>
      <c r="L28" s="432">
        <v>18</v>
      </c>
      <c r="M28" s="13">
        <f t="shared" ref="M28:M32" si="24">F28/V28*60</f>
        <v>2290.8510638297867</v>
      </c>
      <c r="N28" s="12">
        <f t="shared" si="3"/>
        <v>127.26950354609926</v>
      </c>
      <c r="O28" s="14">
        <f t="shared" si="4"/>
        <v>0</v>
      </c>
      <c r="P28" s="15">
        <f t="shared" si="5"/>
        <v>-6.0638297872340843</v>
      </c>
      <c r="Q28" s="428">
        <f t="shared" si="6"/>
        <v>0.95452127659574437</v>
      </c>
      <c r="R28" s="616">
        <f>Q33</f>
        <v>0.95540674965195349</v>
      </c>
      <c r="S28" s="32">
        <v>8.3333333333333329E-2</v>
      </c>
      <c r="T28" s="32">
        <v>0.21388888888888891</v>
      </c>
      <c r="U28" s="423"/>
      <c r="V28" s="433">
        <f t="shared" ref="V28:V32" si="25">(T28-S28)*24*60</f>
        <v>188.00000000000006</v>
      </c>
      <c r="W28" s="16">
        <f>T28</f>
        <v>0.21388888888888891</v>
      </c>
      <c r="X28" s="16">
        <f>S29</f>
        <v>0.23333333333333336</v>
      </c>
      <c r="Y28" s="16"/>
      <c r="Z28" s="16"/>
      <c r="AA28" s="612"/>
      <c r="AB28" s="612"/>
      <c r="AC28" s="136">
        <v>5</v>
      </c>
      <c r="AD28" s="18"/>
      <c r="AE28" s="14">
        <f t="shared" si="8"/>
        <v>-109.14893617021335</v>
      </c>
      <c r="AF28" s="428">
        <f t="shared" si="9"/>
        <v>0.95452127659574448</v>
      </c>
      <c r="AG28" s="616">
        <f>AF33</f>
        <v>0.95540674965195349</v>
      </c>
    </row>
    <row r="29" spans="1:33" ht="15.75" customHeight="1">
      <c r="A29" s="633" t="s">
        <v>374</v>
      </c>
      <c r="B29" s="27" t="s">
        <v>20</v>
      </c>
      <c r="C29" s="659" t="s">
        <v>22</v>
      </c>
      <c r="D29" s="659"/>
      <c r="E29" s="27">
        <v>26.37</v>
      </c>
      <c r="F29" s="434">
        <v>4845</v>
      </c>
      <c r="G29" s="423">
        <f t="shared" si="23"/>
        <v>127762.65000000001</v>
      </c>
      <c r="H29" s="31" t="s">
        <v>40</v>
      </c>
      <c r="I29" s="432">
        <v>18</v>
      </c>
      <c r="J29" s="29">
        <v>2400</v>
      </c>
      <c r="K29" s="12">
        <f t="shared" si="1"/>
        <v>133.33333333333334</v>
      </c>
      <c r="L29" s="432">
        <v>18</v>
      </c>
      <c r="M29" s="13">
        <f t="shared" si="24"/>
        <v>2288.9763779527566</v>
      </c>
      <c r="N29" s="12">
        <f t="shared" si="3"/>
        <v>127.16535433070869</v>
      </c>
      <c r="O29" s="14">
        <f t="shared" si="4"/>
        <v>0</v>
      </c>
      <c r="P29" s="15">
        <f t="shared" si="5"/>
        <v>-6.1679790026246479</v>
      </c>
      <c r="Q29" s="428">
        <f t="shared" si="6"/>
        <v>0.95374015748031515</v>
      </c>
      <c r="R29" s="616"/>
      <c r="S29" s="32">
        <v>0.23333333333333336</v>
      </c>
      <c r="T29" s="32">
        <v>0.3215277777777778</v>
      </c>
      <c r="U29" s="423">
        <f t="shared" ref="U29:U32" si="26">(S29-T28)*24*60</f>
        <v>28.000000000000021</v>
      </c>
      <c r="V29" s="433">
        <f t="shared" si="25"/>
        <v>126.99999999999997</v>
      </c>
      <c r="W29" s="16"/>
      <c r="X29" s="16"/>
      <c r="Y29" s="16"/>
      <c r="Z29" s="16"/>
      <c r="AA29" s="612"/>
      <c r="AB29" s="612"/>
      <c r="AC29" s="136"/>
      <c r="AD29" s="18"/>
      <c r="AE29" s="14">
        <f t="shared" si="8"/>
        <v>-111.02362204724341</v>
      </c>
      <c r="AF29" s="428">
        <f t="shared" si="9"/>
        <v>0.95374015748031526</v>
      </c>
      <c r="AG29" s="616"/>
    </row>
    <row r="30" spans="1:33" ht="15.75" customHeight="1">
      <c r="A30" s="633" t="s">
        <v>374</v>
      </c>
      <c r="B30" s="27" t="s">
        <v>20</v>
      </c>
      <c r="C30" s="659" t="s">
        <v>57</v>
      </c>
      <c r="D30" s="659"/>
      <c r="E30" s="27">
        <v>26.18</v>
      </c>
      <c r="F30" s="434">
        <v>5948</v>
      </c>
      <c r="G30" s="423">
        <f t="shared" si="23"/>
        <v>155718.63999999998</v>
      </c>
      <c r="H30" s="31" t="s">
        <v>40</v>
      </c>
      <c r="I30" s="432">
        <v>18</v>
      </c>
      <c r="J30" s="29">
        <v>2400</v>
      </c>
      <c r="K30" s="12">
        <f t="shared" si="1"/>
        <v>133.33333333333334</v>
      </c>
      <c r="L30" s="432">
        <v>18</v>
      </c>
      <c r="M30" s="13">
        <f t="shared" si="24"/>
        <v>2287.6923076923081</v>
      </c>
      <c r="N30" s="12">
        <f t="shared" si="3"/>
        <v>127.09401709401712</v>
      </c>
      <c r="O30" s="14">
        <f t="shared" si="4"/>
        <v>0</v>
      </c>
      <c r="P30" s="15">
        <f t="shared" si="5"/>
        <v>-6.2393162393162243</v>
      </c>
      <c r="Q30" s="428">
        <f t="shared" si="6"/>
        <v>0.95320512820512837</v>
      </c>
      <c r="R30" s="616"/>
      <c r="S30" s="32">
        <v>0.32500000000000001</v>
      </c>
      <c r="T30" s="32">
        <v>0.43333333333333335</v>
      </c>
      <c r="U30" s="423">
        <f t="shared" si="26"/>
        <v>4.9999999999999822</v>
      </c>
      <c r="V30" s="433">
        <f t="shared" si="25"/>
        <v>156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-112.30769230769192</v>
      </c>
      <c r="AF30" s="428">
        <f t="shared" si="9"/>
        <v>0.95320512820512837</v>
      </c>
      <c r="AG30" s="616"/>
    </row>
    <row r="31" spans="1:33" ht="15.75" customHeight="1">
      <c r="A31" s="633" t="s">
        <v>374</v>
      </c>
      <c r="B31" s="27" t="s">
        <v>20</v>
      </c>
      <c r="C31" s="659" t="s">
        <v>59</v>
      </c>
      <c r="D31" s="659"/>
      <c r="E31" s="27">
        <v>25.99</v>
      </c>
      <c r="F31" s="434">
        <v>993</v>
      </c>
      <c r="G31" s="423">
        <f t="shared" si="23"/>
        <v>25808.07</v>
      </c>
      <c r="H31" s="31" t="s">
        <v>40</v>
      </c>
      <c r="I31" s="432">
        <v>18</v>
      </c>
      <c r="J31" s="29">
        <v>2400</v>
      </c>
      <c r="K31" s="12">
        <f t="shared" si="1"/>
        <v>133.33333333333334</v>
      </c>
      <c r="L31" s="432">
        <v>18</v>
      </c>
      <c r="M31" s="13">
        <f t="shared" si="24"/>
        <v>2291.5384615384628</v>
      </c>
      <c r="N31" s="12">
        <f t="shared" si="3"/>
        <v>127.30769230769238</v>
      </c>
      <c r="O31" s="14">
        <f t="shared" si="4"/>
        <v>0</v>
      </c>
      <c r="P31" s="15">
        <f t="shared" si="5"/>
        <v>-6.0256410256409652</v>
      </c>
      <c r="Q31" s="428">
        <f t="shared" si="6"/>
        <v>0.9548076923076928</v>
      </c>
      <c r="R31" s="616"/>
      <c r="S31" s="32">
        <v>0.43819444444444444</v>
      </c>
      <c r="T31" s="32">
        <v>0.45624999999999999</v>
      </c>
      <c r="U31" s="423">
        <f t="shared" si="26"/>
        <v>6.9999999999999751</v>
      </c>
      <c r="V31" s="433">
        <f t="shared" si="25"/>
        <v>25.999999999999986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-108.4615384615372</v>
      </c>
      <c r="AF31" s="428">
        <f t="shared" si="9"/>
        <v>0.9548076923076928</v>
      </c>
      <c r="AG31" s="616"/>
    </row>
    <row r="32" spans="1:33" ht="15.75" customHeight="1">
      <c r="A32" s="633" t="s">
        <v>374</v>
      </c>
      <c r="B32" s="27" t="s">
        <v>20</v>
      </c>
      <c r="C32" s="659" t="s">
        <v>23</v>
      </c>
      <c r="D32" s="659"/>
      <c r="E32" s="27">
        <v>25.99</v>
      </c>
      <c r="F32" s="434">
        <v>3036</v>
      </c>
      <c r="G32" s="423">
        <f t="shared" si="23"/>
        <v>78905.64</v>
      </c>
      <c r="H32" s="31" t="s">
        <v>40</v>
      </c>
      <c r="I32" s="432">
        <v>14</v>
      </c>
      <c r="J32" s="29">
        <v>2400</v>
      </c>
      <c r="K32" s="12">
        <f t="shared" si="1"/>
        <v>171.42857142857142</v>
      </c>
      <c r="L32" s="432">
        <v>14</v>
      </c>
      <c r="M32" s="13">
        <f t="shared" si="24"/>
        <v>2305.8227848101278</v>
      </c>
      <c r="N32" s="12">
        <f t="shared" si="3"/>
        <v>164.7016274864377</v>
      </c>
      <c r="O32" s="14">
        <f t="shared" si="4"/>
        <v>0</v>
      </c>
      <c r="P32" s="15">
        <f t="shared" si="5"/>
        <v>-6.7269439421337154</v>
      </c>
      <c r="Q32" s="428">
        <f t="shared" si="6"/>
        <v>0.96075949367088664</v>
      </c>
      <c r="R32" s="616"/>
      <c r="S32" s="32">
        <v>0.4597222222222222</v>
      </c>
      <c r="T32" s="32">
        <v>0.51458333333333328</v>
      </c>
      <c r="U32" s="423">
        <f t="shared" si="26"/>
        <v>4.9999999999999822</v>
      </c>
      <c r="V32" s="433">
        <f t="shared" si="25"/>
        <v>78.999999999999957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-94.177215189872186</v>
      </c>
      <c r="AF32" s="428">
        <f t="shared" si="9"/>
        <v>0.96075949367088664</v>
      </c>
      <c r="AG32" s="616"/>
    </row>
    <row r="33" spans="1:33" ht="15.75" customHeight="1">
      <c r="A33" s="633" t="s">
        <v>374</v>
      </c>
      <c r="B33" s="27" t="s">
        <v>186</v>
      </c>
      <c r="C33" s="658"/>
      <c r="D33" s="658"/>
      <c r="E33" s="429"/>
      <c r="F33" s="434"/>
      <c r="G33" s="423"/>
      <c r="H33" s="434"/>
      <c r="I33" s="21">
        <v>17.2</v>
      </c>
      <c r="J33" s="29">
        <v>2400</v>
      </c>
      <c r="K33" s="12">
        <f t="shared" si="1"/>
        <v>139.53488372093022</v>
      </c>
      <c r="L33" s="21">
        <v>17.2</v>
      </c>
      <c r="M33" s="13">
        <f>AVERAGE(M28:M32)</f>
        <v>2292.9761991646883</v>
      </c>
      <c r="N33" s="12">
        <f t="shared" si="3"/>
        <v>133.31256971887723</v>
      </c>
      <c r="O33" s="14">
        <f t="shared" si="4"/>
        <v>0</v>
      </c>
      <c r="P33" s="15">
        <f t="shared" si="5"/>
        <v>-6.2223140020529968</v>
      </c>
      <c r="Q33" s="428">
        <f t="shared" si="6"/>
        <v>0.95540674965195349</v>
      </c>
      <c r="R33" s="616"/>
      <c r="S33" s="32"/>
      <c r="T33" s="32"/>
      <c r="U33" s="423"/>
      <c r="V33" s="433"/>
      <c r="W33" s="423"/>
      <c r="X33" s="423"/>
      <c r="Y33" s="22">
        <f>SUM(Y28:Y32)</f>
        <v>0</v>
      </c>
      <c r="Z33" s="22">
        <f>SUM(Z28:Z32)</f>
        <v>0</v>
      </c>
      <c r="AA33" s="611"/>
      <c r="AB33" s="611"/>
      <c r="AC33" s="22">
        <v>5</v>
      </c>
      <c r="AD33" s="22">
        <f>SUM(AD28:AD32)</f>
        <v>0</v>
      </c>
      <c r="AE33" s="14">
        <f t="shared" si="8"/>
        <v>-107.0238008353117</v>
      </c>
      <c r="AF33" s="428">
        <f t="shared" si="9"/>
        <v>0.95540674965195349</v>
      </c>
      <c r="AG33" s="616"/>
    </row>
    <row r="34" spans="1:33" ht="15.75" customHeight="1">
      <c r="A34" s="629" t="s">
        <v>181</v>
      </c>
      <c r="B34" s="27" t="s">
        <v>20</v>
      </c>
      <c r="C34" s="660" t="s">
        <v>58</v>
      </c>
      <c r="D34" s="660"/>
      <c r="E34" s="27">
        <v>26.18</v>
      </c>
      <c r="F34" s="434">
        <v>5075</v>
      </c>
      <c r="G34" s="423">
        <f t="shared" ref="G34:G39" si="27">E34*F34</f>
        <v>132863.5</v>
      </c>
      <c r="H34" s="31" t="s">
        <v>40</v>
      </c>
      <c r="I34" s="432">
        <v>20</v>
      </c>
      <c r="J34" s="29">
        <v>2400</v>
      </c>
      <c r="K34" s="12">
        <f t="shared" si="1"/>
        <v>120</v>
      </c>
      <c r="L34" s="432">
        <v>20</v>
      </c>
      <c r="M34" s="13">
        <f t="shared" ref="M34:M39" si="28">F34/V34*60</f>
        <v>2289.4736842105272</v>
      </c>
      <c r="N34" s="12">
        <f t="shared" si="3"/>
        <v>114.47368421052636</v>
      </c>
      <c r="O34" s="14">
        <f t="shared" si="4"/>
        <v>0</v>
      </c>
      <c r="P34" s="15">
        <f t="shared" si="5"/>
        <v>-5.5263157894736423</v>
      </c>
      <c r="Q34" s="428">
        <f t="shared" si="6"/>
        <v>0.95394736842105299</v>
      </c>
      <c r="R34" s="616">
        <f>Q40</f>
        <v>0.95820001751262707</v>
      </c>
      <c r="S34" s="32">
        <v>8.3333333333333329E-2</v>
      </c>
      <c r="T34" s="32">
        <v>0.17569444444444443</v>
      </c>
      <c r="U34" s="423"/>
      <c r="V34" s="433">
        <f t="shared" ref="V34:V39" si="29">(T34-S34)*24*60</f>
        <v>132.99999999999997</v>
      </c>
      <c r="W34" s="20">
        <f>T34</f>
        <v>0.17569444444444443</v>
      </c>
      <c r="X34" s="20">
        <f>S35</f>
        <v>0.19513888888888886</v>
      </c>
      <c r="Y34" s="20"/>
      <c r="Z34" s="20"/>
      <c r="AA34" s="612"/>
      <c r="AB34" s="612"/>
      <c r="AC34" s="136">
        <v>6</v>
      </c>
      <c r="AD34" s="18"/>
      <c r="AE34" s="14">
        <f t="shared" si="8"/>
        <v>-110.52631578947285</v>
      </c>
      <c r="AF34" s="428">
        <f t="shared" si="9"/>
        <v>0.95394736842105299</v>
      </c>
      <c r="AG34" s="616">
        <f>AF40</f>
        <v>0.95820001751262707</v>
      </c>
    </row>
    <row r="35" spans="1:33" ht="15.75" customHeight="1">
      <c r="A35" s="629" t="s">
        <v>181</v>
      </c>
      <c r="B35" s="27" t="s">
        <v>20</v>
      </c>
      <c r="C35" s="660" t="s">
        <v>25</v>
      </c>
      <c r="D35" s="660"/>
      <c r="E35" s="27">
        <v>24.43</v>
      </c>
      <c r="F35" s="434">
        <v>5623</v>
      </c>
      <c r="G35" s="423">
        <f t="shared" si="27"/>
        <v>137369.88999999998</v>
      </c>
      <c r="H35" s="31" t="s">
        <v>40</v>
      </c>
      <c r="I35" s="432">
        <v>14</v>
      </c>
      <c r="J35" s="29">
        <v>2400</v>
      </c>
      <c r="K35" s="12">
        <f t="shared" si="1"/>
        <v>171.42857142857142</v>
      </c>
      <c r="L35" s="432">
        <v>14</v>
      </c>
      <c r="M35" s="13">
        <f t="shared" si="28"/>
        <v>2295.1020408163263</v>
      </c>
      <c r="N35" s="12">
        <f t="shared" si="3"/>
        <v>163.93586005830903</v>
      </c>
      <c r="O35" s="14">
        <f t="shared" si="4"/>
        <v>0</v>
      </c>
      <c r="P35" s="15">
        <f t="shared" si="5"/>
        <v>-7.4927113702623842</v>
      </c>
      <c r="Q35" s="428">
        <f t="shared" si="6"/>
        <v>0.95629251700680273</v>
      </c>
      <c r="R35" s="616"/>
      <c r="S35" s="32">
        <v>0.19513888888888886</v>
      </c>
      <c r="T35" s="32">
        <v>0.29722222222222222</v>
      </c>
      <c r="U35" s="423">
        <f t="shared" ref="U35:U39" si="30">(S35-T34)*24*60</f>
        <v>27.999999999999979</v>
      </c>
      <c r="V35" s="433">
        <f t="shared" si="29"/>
        <v>147.00000000000003</v>
      </c>
      <c r="W35" s="423"/>
      <c r="X35" s="423"/>
      <c r="Y35" s="423"/>
      <c r="Z35" s="423"/>
      <c r="AA35" s="612"/>
      <c r="AB35" s="612"/>
      <c r="AC35" s="136"/>
      <c r="AD35" s="18"/>
      <c r="AE35" s="14">
        <f t="shared" si="8"/>
        <v>-104.89795918367372</v>
      </c>
      <c r="AF35" s="428">
        <f t="shared" si="9"/>
        <v>0.95629251700680262</v>
      </c>
      <c r="AG35" s="616"/>
    </row>
    <row r="36" spans="1:33">
      <c r="A36" s="630" t="s">
        <v>181</v>
      </c>
      <c r="B36" s="27" t="s">
        <v>20</v>
      </c>
      <c r="C36" s="660" t="s">
        <v>83</v>
      </c>
      <c r="D36" s="660"/>
      <c r="E36" s="27">
        <v>25.98</v>
      </c>
      <c r="F36" s="434">
        <v>2989</v>
      </c>
      <c r="G36" s="423">
        <f t="shared" si="27"/>
        <v>77654.22</v>
      </c>
      <c r="H36" s="31" t="s">
        <v>40</v>
      </c>
      <c r="I36" s="432">
        <v>20</v>
      </c>
      <c r="J36" s="29">
        <v>2400</v>
      </c>
      <c r="K36" s="12">
        <f t="shared" si="1"/>
        <v>120</v>
      </c>
      <c r="L36" s="432">
        <v>20</v>
      </c>
      <c r="M36" s="13">
        <f t="shared" si="28"/>
        <v>2299.2307692307704</v>
      </c>
      <c r="N36" s="12">
        <f t="shared" si="3"/>
        <v>114.96153846153852</v>
      </c>
      <c r="O36" s="14">
        <f t="shared" si="4"/>
        <v>0</v>
      </c>
      <c r="P36" s="15">
        <f t="shared" si="5"/>
        <v>-5.0384615384614762</v>
      </c>
      <c r="Q36" s="428">
        <f t="shared" si="6"/>
        <v>0.958012820512821</v>
      </c>
      <c r="R36" s="616"/>
      <c r="S36" s="32">
        <v>0.30208333333333331</v>
      </c>
      <c r="T36" s="32">
        <v>0.35624999999999996</v>
      </c>
      <c r="U36" s="423">
        <f t="shared" si="30"/>
        <v>6.9999999999999751</v>
      </c>
      <c r="V36" s="433">
        <f t="shared" si="29"/>
        <v>77.999999999999957</v>
      </c>
      <c r="W36" s="423"/>
      <c r="X36" s="423"/>
      <c r="Y36" s="423"/>
      <c r="Z36" s="423"/>
      <c r="AA36" s="612"/>
      <c r="AB36" s="612"/>
      <c r="AC36" s="136"/>
      <c r="AD36" s="18"/>
      <c r="AE36" s="14">
        <f t="shared" si="8"/>
        <v>-100.76923076922958</v>
      </c>
      <c r="AF36" s="428">
        <f t="shared" si="9"/>
        <v>0.958012820512821</v>
      </c>
      <c r="AG36" s="616"/>
    </row>
    <row r="37" spans="1:33">
      <c r="A37" s="630" t="s">
        <v>2228</v>
      </c>
      <c r="B37" s="27" t="s">
        <v>20</v>
      </c>
      <c r="C37" s="660" t="s">
        <v>26</v>
      </c>
      <c r="D37" s="660"/>
      <c r="E37" s="27">
        <v>34.1</v>
      </c>
      <c r="F37" s="434">
        <v>3400</v>
      </c>
      <c r="G37" s="423">
        <f t="shared" si="27"/>
        <v>115940</v>
      </c>
      <c r="H37" s="31">
        <v>2</v>
      </c>
      <c r="I37" s="432">
        <v>17</v>
      </c>
      <c r="J37" s="29">
        <v>1600</v>
      </c>
      <c r="K37" s="12">
        <f t="shared" si="1"/>
        <v>94.117647058823536</v>
      </c>
      <c r="L37" s="432">
        <v>17</v>
      </c>
      <c r="M37" s="13">
        <f t="shared" si="28"/>
        <v>1522.3880597014925</v>
      </c>
      <c r="N37" s="12">
        <f t="shared" si="3"/>
        <v>89.552238805970148</v>
      </c>
      <c r="O37" s="14">
        <f t="shared" si="4"/>
        <v>0</v>
      </c>
      <c r="P37" s="15">
        <f t="shared" si="5"/>
        <v>-4.5654082528533877</v>
      </c>
      <c r="Q37" s="428">
        <f t="shared" si="6"/>
        <v>0.95149253731343275</v>
      </c>
      <c r="R37" s="616"/>
      <c r="S37" s="32">
        <v>0.36041666666666661</v>
      </c>
      <c r="T37" s="32">
        <v>0.45347222222222217</v>
      </c>
      <c r="U37" s="423">
        <f t="shared" si="30"/>
        <v>5.9999999999999787</v>
      </c>
      <c r="V37" s="433">
        <f t="shared" si="29"/>
        <v>134</v>
      </c>
      <c r="W37" s="16"/>
      <c r="X37" s="16"/>
      <c r="Y37" s="16"/>
      <c r="Z37" s="16"/>
      <c r="AA37" s="612"/>
      <c r="AB37" s="612"/>
      <c r="AC37" s="136"/>
      <c r="AD37" s="18"/>
      <c r="AE37" s="14">
        <f t="shared" si="8"/>
        <v>-77.611940298507534</v>
      </c>
      <c r="AF37" s="428">
        <f t="shared" si="9"/>
        <v>0.95149253731343275</v>
      </c>
      <c r="AG37" s="616"/>
    </row>
    <row r="38" spans="1:33">
      <c r="A38" s="630" t="s">
        <v>181</v>
      </c>
      <c r="B38" s="27" t="s">
        <v>20</v>
      </c>
      <c r="C38" s="660" t="s">
        <v>64</v>
      </c>
      <c r="D38" s="660"/>
      <c r="E38" s="27">
        <v>20.21</v>
      </c>
      <c r="F38" s="434">
        <v>1969</v>
      </c>
      <c r="G38" s="423">
        <f t="shared" si="27"/>
        <v>39793.490000000005</v>
      </c>
      <c r="H38" s="31" t="s">
        <v>40</v>
      </c>
      <c r="I38" s="432">
        <v>18</v>
      </c>
      <c r="J38" s="29">
        <v>2400</v>
      </c>
      <c r="K38" s="12">
        <f t="shared" si="1"/>
        <v>133.33333333333334</v>
      </c>
      <c r="L38" s="432">
        <v>18</v>
      </c>
      <c r="M38" s="13">
        <f t="shared" si="28"/>
        <v>2316.4705882352951</v>
      </c>
      <c r="N38" s="12">
        <f t="shared" si="3"/>
        <v>128.6928104575164</v>
      </c>
      <c r="O38" s="14">
        <f t="shared" si="4"/>
        <v>0</v>
      </c>
      <c r="P38" s="15">
        <f t="shared" si="5"/>
        <v>-4.6405228758169415</v>
      </c>
      <c r="Q38" s="428">
        <f t="shared" si="6"/>
        <v>0.96519607843137289</v>
      </c>
      <c r="R38" s="616"/>
      <c r="S38" s="32">
        <v>0.45833333333333326</v>
      </c>
      <c r="T38" s="32">
        <v>0.49374999999999991</v>
      </c>
      <c r="U38" s="423">
        <f t="shared" si="30"/>
        <v>6.9999999999999751</v>
      </c>
      <c r="V38" s="433">
        <f t="shared" si="29"/>
        <v>50.999999999999979</v>
      </c>
      <c r="W38" s="16">
        <f>T38</f>
        <v>0.49374999999999991</v>
      </c>
      <c r="X38" s="16">
        <f>S39</f>
        <v>0.53194444444444433</v>
      </c>
      <c r="Y38" s="16"/>
      <c r="Z38" s="16"/>
      <c r="AA38" s="612"/>
      <c r="AB38" s="612"/>
      <c r="AC38" s="136"/>
      <c r="AD38" s="18"/>
      <c r="AE38" s="14">
        <f t="shared" si="8"/>
        <v>-83.529411764704946</v>
      </c>
      <c r="AF38" s="428">
        <f t="shared" si="9"/>
        <v>0.96519607843137289</v>
      </c>
      <c r="AG38" s="616"/>
    </row>
    <row r="39" spans="1:33">
      <c r="A39" s="630" t="s">
        <v>181</v>
      </c>
      <c r="B39" s="27" t="s">
        <v>20</v>
      </c>
      <c r="C39" s="660" t="s">
        <v>26</v>
      </c>
      <c r="D39" s="660"/>
      <c r="E39" s="27">
        <v>34.1</v>
      </c>
      <c r="F39" s="434">
        <v>1568</v>
      </c>
      <c r="G39" s="423">
        <f t="shared" si="27"/>
        <v>53468.800000000003</v>
      </c>
      <c r="H39" s="31" t="s">
        <v>40</v>
      </c>
      <c r="I39" s="432">
        <v>17</v>
      </c>
      <c r="J39" s="29">
        <v>1600</v>
      </c>
      <c r="K39" s="12">
        <f t="shared" si="1"/>
        <v>94.117647058823536</v>
      </c>
      <c r="L39" s="432">
        <v>17</v>
      </c>
      <c r="M39" s="13">
        <f t="shared" si="28"/>
        <v>1542.2950819672146</v>
      </c>
      <c r="N39" s="12">
        <f t="shared" si="3"/>
        <v>90.723240115718511</v>
      </c>
      <c r="O39" s="14">
        <f t="shared" si="4"/>
        <v>0</v>
      </c>
      <c r="P39" s="15">
        <f t="shared" si="5"/>
        <v>-3.3944069431050252</v>
      </c>
      <c r="Q39" s="428">
        <f t="shared" si="6"/>
        <v>0.96393442622950909</v>
      </c>
      <c r="R39" s="616"/>
      <c r="S39" s="32">
        <v>0.53194444444444433</v>
      </c>
      <c r="T39" s="32">
        <v>0.5743055555555554</v>
      </c>
      <c r="U39" s="423">
        <f t="shared" si="30"/>
        <v>54.999999999999964</v>
      </c>
      <c r="V39" s="433">
        <f t="shared" si="29"/>
        <v>60.999999999999943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-57.704918032785372</v>
      </c>
      <c r="AF39" s="428">
        <f t="shared" si="9"/>
        <v>0.96393442622950909</v>
      </c>
      <c r="AG39" s="616"/>
    </row>
    <row r="40" spans="1:33">
      <c r="A40" s="630" t="s">
        <v>2228</v>
      </c>
      <c r="B40" s="28" t="s">
        <v>186</v>
      </c>
      <c r="C40" s="658"/>
      <c r="D40" s="658"/>
      <c r="E40" s="429"/>
      <c r="F40" s="28"/>
      <c r="G40" s="12"/>
      <c r="H40" s="434"/>
      <c r="I40" s="21">
        <v>17.666666666666668</v>
      </c>
      <c r="J40" s="29">
        <v>2133.3333333333335</v>
      </c>
      <c r="K40" s="12">
        <f t="shared" si="1"/>
        <v>120.75471698113208</v>
      </c>
      <c r="L40" s="21">
        <v>17.666666666666668</v>
      </c>
      <c r="M40" s="13">
        <f>AVERAGE(M34:M39)</f>
        <v>2044.1600373602712</v>
      </c>
      <c r="N40" s="12">
        <f t="shared" si="3"/>
        <v>115.70717192605308</v>
      </c>
      <c r="O40" s="14">
        <f t="shared" si="4"/>
        <v>0</v>
      </c>
      <c r="P40" s="15">
        <f t="shared" si="5"/>
        <v>-5.0475450550789986</v>
      </c>
      <c r="Q40" s="428">
        <f t="shared" si="6"/>
        <v>0.95820001751262707</v>
      </c>
      <c r="R40" s="616"/>
      <c r="S40" s="32"/>
      <c r="T40" s="32"/>
      <c r="U40" s="12"/>
      <c r="V40" s="433"/>
      <c r="W40" s="12"/>
      <c r="X40" s="12"/>
      <c r="Y40" s="22">
        <f>SUM(Y34:Y39)</f>
        <v>0</v>
      </c>
      <c r="Z40" s="22">
        <f>SUM(Z34:Z39)</f>
        <v>0</v>
      </c>
      <c r="AA40" s="611"/>
      <c r="AB40" s="611"/>
      <c r="AC40" s="22">
        <v>6</v>
      </c>
      <c r="AD40" s="22">
        <f>SUM(AD34:AD39)</f>
        <v>0</v>
      </c>
      <c r="AE40" s="14">
        <f t="shared" si="8"/>
        <v>-89.173295973062295</v>
      </c>
      <c r="AF40" s="428">
        <f t="shared" si="9"/>
        <v>0.95820001751262707</v>
      </c>
      <c r="AG40" s="616"/>
    </row>
    <row r="41" spans="1:33" ht="15.75" customHeight="1">
      <c r="A41" s="623" t="s">
        <v>2229</v>
      </c>
      <c r="B41" s="27" t="s">
        <v>27</v>
      </c>
      <c r="C41" s="605" t="s">
        <v>33</v>
      </c>
      <c r="D41" s="606"/>
      <c r="E41" s="27">
        <v>34.36</v>
      </c>
      <c r="F41" s="434">
        <v>1804</v>
      </c>
      <c r="G41" s="423">
        <f t="shared" ref="G41:G44" si="31">E41*F41</f>
        <v>61985.440000000002</v>
      </c>
      <c r="H41" s="31" t="s">
        <v>40</v>
      </c>
      <c r="I41" s="432">
        <v>10</v>
      </c>
      <c r="J41" s="29">
        <v>3000</v>
      </c>
      <c r="K41" s="12">
        <f t="shared" si="1"/>
        <v>300</v>
      </c>
      <c r="L41" s="432">
        <v>10</v>
      </c>
      <c r="M41" s="13">
        <f t="shared" ref="M41:M44" si="32">F41/V41*60</f>
        <v>2925.4054054054063</v>
      </c>
      <c r="N41" s="13">
        <f t="shared" si="3"/>
        <v>292.54054054054063</v>
      </c>
      <c r="O41" s="14">
        <f t="shared" si="4"/>
        <v>0</v>
      </c>
      <c r="P41" s="15">
        <f t="shared" si="5"/>
        <v>-7.4594594594593673</v>
      </c>
      <c r="Q41" s="428">
        <f t="shared" si="6"/>
        <v>0.97513513513513539</v>
      </c>
      <c r="R41" s="626">
        <f>Q45</f>
        <v>0.96020937902187942</v>
      </c>
      <c r="S41" s="32">
        <v>0.20833333333333334</v>
      </c>
      <c r="T41" s="32">
        <v>0.23402777777777778</v>
      </c>
      <c r="U41" s="20"/>
      <c r="V41" s="433">
        <f t="shared" ref="V41:V44" si="33">(T41-S41)*24*60</f>
        <v>36.999999999999986</v>
      </c>
      <c r="W41" s="16"/>
      <c r="X41" s="16"/>
      <c r="Y41" s="19"/>
      <c r="Z41" s="19"/>
      <c r="AA41" s="607"/>
      <c r="AB41" s="608"/>
      <c r="AC41" s="136">
        <v>4</v>
      </c>
      <c r="AD41" s="18"/>
      <c r="AE41" s="14">
        <f t="shared" si="8"/>
        <v>-74.594594594593673</v>
      </c>
      <c r="AF41" s="428">
        <f t="shared" si="9"/>
        <v>0.97513513513513539</v>
      </c>
      <c r="AG41" s="626">
        <f>AF45</f>
        <v>0.96020937902187931</v>
      </c>
    </row>
    <row r="42" spans="1:33" ht="15.75" customHeight="1">
      <c r="A42" s="624" t="s">
        <v>75</v>
      </c>
      <c r="B42" s="27" t="s">
        <v>27</v>
      </c>
      <c r="C42" s="605" t="s">
        <v>29</v>
      </c>
      <c r="D42" s="606"/>
      <c r="E42" s="27">
        <v>21.13</v>
      </c>
      <c r="F42" s="434">
        <v>4314</v>
      </c>
      <c r="G42" s="423">
        <f t="shared" si="31"/>
        <v>91154.819999999992</v>
      </c>
      <c r="H42" s="31" t="s">
        <v>40</v>
      </c>
      <c r="I42" s="432">
        <v>10</v>
      </c>
      <c r="J42" s="29">
        <v>3000</v>
      </c>
      <c r="K42" s="12">
        <f t="shared" si="1"/>
        <v>300</v>
      </c>
      <c r="L42" s="432">
        <v>10</v>
      </c>
      <c r="M42" s="13">
        <f t="shared" si="32"/>
        <v>2876</v>
      </c>
      <c r="N42" s="13">
        <f t="shared" si="3"/>
        <v>287.60000000000002</v>
      </c>
      <c r="O42" s="14">
        <f t="shared" si="4"/>
        <v>0</v>
      </c>
      <c r="P42" s="15">
        <f t="shared" si="5"/>
        <v>-12.399999999999977</v>
      </c>
      <c r="Q42" s="428">
        <f t="shared" si="6"/>
        <v>0.95866666666666678</v>
      </c>
      <c r="R42" s="627"/>
      <c r="S42" s="32">
        <v>0.23749999999999999</v>
      </c>
      <c r="T42" s="32">
        <v>0.3</v>
      </c>
      <c r="U42" s="423">
        <f t="shared" ref="U42:U44" si="34">(S42-T41)*24*60</f>
        <v>4.9999999999999822</v>
      </c>
      <c r="V42" s="433">
        <f t="shared" si="33"/>
        <v>90</v>
      </c>
      <c r="W42" s="16"/>
      <c r="X42" s="16"/>
      <c r="Y42" s="19"/>
      <c r="Z42" s="19"/>
      <c r="AA42" s="607"/>
      <c r="AB42" s="608"/>
      <c r="AC42" s="136"/>
      <c r="AD42" s="18"/>
      <c r="AE42" s="14">
        <f t="shared" si="8"/>
        <v>-124</v>
      </c>
      <c r="AF42" s="428">
        <f t="shared" si="9"/>
        <v>0.95866666666666667</v>
      </c>
      <c r="AG42" s="627"/>
    </row>
    <row r="43" spans="1:33" ht="15.75" customHeight="1">
      <c r="A43" s="624" t="s">
        <v>2229</v>
      </c>
      <c r="B43" s="27" t="s">
        <v>27</v>
      </c>
      <c r="C43" s="605" t="s">
        <v>30</v>
      </c>
      <c r="D43" s="606"/>
      <c r="E43" s="27">
        <v>27.17</v>
      </c>
      <c r="F43" s="434">
        <v>3811</v>
      </c>
      <c r="G43" s="423">
        <f t="shared" si="31"/>
        <v>103544.87000000001</v>
      </c>
      <c r="H43" s="31" t="s">
        <v>40</v>
      </c>
      <c r="I43" s="432">
        <v>10</v>
      </c>
      <c r="J43" s="29">
        <v>3000</v>
      </c>
      <c r="K43" s="12">
        <f t="shared" si="1"/>
        <v>300</v>
      </c>
      <c r="L43" s="432">
        <v>10</v>
      </c>
      <c r="M43" s="13">
        <f t="shared" si="32"/>
        <v>2858.2500000000014</v>
      </c>
      <c r="N43" s="13">
        <f t="shared" si="3"/>
        <v>285.82500000000016</v>
      </c>
      <c r="O43" s="14">
        <f t="shared" si="4"/>
        <v>0</v>
      </c>
      <c r="P43" s="15">
        <f t="shared" si="5"/>
        <v>-14.174999999999841</v>
      </c>
      <c r="Q43" s="428">
        <f t="shared" si="6"/>
        <v>0.95275000000000054</v>
      </c>
      <c r="R43" s="627"/>
      <c r="S43" s="32">
        <v>0.30555555555555552</v>
      </c>
      <c r="T43" s="32">
        <v>0.36111111111111105</v>
      </c>
      <c r="U43" s="423">
        <f t="shared" si="34"/>
        <v>7.9999999999999716</v>
      </c>
      <c r="V43" s="433">
        <f t="shared" si="33"/>
        <v>79.999999999999957</v>
      </c>
      <c r="W43" s="16"/>
      <c r="X43" s="16"/>
      <c r="Y43" s="19"/>
      <c r="Z43" s="19"/>
      <c r="AA43" s="607"/>
      <c r="AB43" s="608"/>
      <c r="AC43" s="136"/>
      <c r="AD43" s="18"/>
      <c r="AE43" s="14">
        <f t="shared" si="8"/>
        <v>-141.74999999999864</v>
      </c>
      <c r="AF43" s="428">
        <f t="shared" si="9"/>
        <v>0.95275000000000043</v>
      </c>
      <c r="AG43" s="627"/>
    </row>
    <row r="44" spans="1:33" ht="15.75" customHeight="1">
      <c r="A44" s="624" t="s">
        <v>2229</v>
      </c>
      <c r="B44" s="27" t="s">
        <v>27</v>
      </c>
      <c r="C44" s="605" t="s">
        <v>35</v>
      </c>
      <c r="D44" s="606"/>
      <c r="E44" s="27">
        <v>35.869999999999997</v>
      </c>
      <c r="F44" s="434">
        <v>2004</v>
      </c>
      <c r="G44" s="423">
        <f t="shared" si="31"/>
        <v>71883.48</v>
      </c>
      <c r="H44" s="31" t="s">
        <v>40</v>
      </c>
      <c r="I44" s="432">
        <v>9</v>
      </c>
      <c r="J44" s="29">
        <v>3000</v>
      </c>
      <c r="K44" s="12">
        <f t="shared" si="1"/>
        <v>333.33333333333331</v>
      </c>
      <c r="L44" s="432">
        <v>9</v>
      </c>
      <c r="M44" s="13">
        <f t="shared" si="32"/>
        <v>2862.8571428571422</v>
      </c>
      <c r="N44" s="13">
        <f t="shared" si="3"/>
        <v>318.09523809523802</v>
      </c>
      <c r="O44" s="14">
        <f t="shared" si="4"/>
        <v>0</v>
      </c>
      <c r="P44" s="15">
        <f t="shared" si="5"/>
        <v>-15.238095238095298</v>
      </c>
      <c r="Q44" s="428">
        <f t="shared" si="6"/>
        <v>0.95428571428571407</v>
      </c>
      <c r="R44" s="627"/>
      <c r="S44" s="32">
        <v>0.3652777777777777</v>
      </c>
      <c r="T44" s="32">
        <v>0.39444444444444438</v>
      </c>
      <c r="U44" s="423">
        <f t="shared" si="34"/>
        <v>5.9999999999999787</v>
      </c>
      <c r="V44" s="433">
        <f t="shared" si="33"/>
        <v>42.000000000000014</v>
      </c>
      <c r="W44" s="16"/>
      <c r="X44" s="16"/>
      <c r="Y44" s="19"/>
      <c r="Z44" s="19"/>
      <c r="AA44" s="607"/>
      <c r="AB44" s="608"/>
      <c r="AC44" s="136"/>
      <c r="AD44" s="18"/>
      <c r="AE44" s="14">
        <f t="shared" si="8"/>
        <v>-137.14285714285779</v>
      </c>
      <c r="AF44" s="428">
        <f t="shared" si="9"/>
        <v>0.95428571428571407</v>
      </c>
      <c r="AG44" s="627"/>
    </row>
    <row r="45" spans="1:33" ht="15.75" customHeight="1">
      <c r="A45" s="625" t="s">
        <v>75</v>
      </c>
      <c r="B45" s="27" t="s">
        <v>2224</v>
      </c>
      <c r="C45" s="609"/>
      <c r="D45" s="610"/>
      <c r="E45" s="421"/>
      <c r="F45" s="434"/>
      <c r="G45" s="423"/>
      <c r="H45" s="434"/>
      <c r="I45" s="21">
        <v>9.75</v>
      </c>
      <c r="J45" s="29">
        <v>3000</v>
      </c>
      <c r="K45" s="12">
        <f t="shared" si="1"/>
        <v>307.69230769230768</v>
      </c>
      <c r="L45" s="21">
        <v>9.75</v>
      </c>
      <c r="M45" s="13">
        <f>AVERAGE(M41:M44)</f>
        <v>2880.6281370656379</v>
      </c>
      <c r="N45" s="12">
        <f t="shared" si="3"/>
        <v>295.44903969903982</v>
      </c>
      <c r="O45" s="14">
        <f t="shared" si="4"/>
        <v>0</v>
      </c>
      <c r="P45" s="15">
        <f t="shared" si="5"/>
        <v>-12.243267993267864</v>
      </c>
      <c r="Q45" s="428">
        <f t="shared" si="6"/>
        <v>0.96020937902187942</v>
      </c>
      <c r="R45" s="628"/>
      <c r="S45" s="32"/>
      <c r="T45" s="32"/>
      <c r="U45" s="423"/>
      <c r="V45" s="433"/>
      <c r="W45" s="16"/>
      <c r="X45" s="16"/>
      <c r="Y45" s="22">
        <f>SUM(Y41:Y44)</f>
        <v>0</v>
      </c>
      <c r="Z45" s="22">
        <f>SUM(Z41:Z44)</f>
        <v>0</v>
      </c>
      <c r="AA45" s="619"/>
      <c r="AB45" s="620"/>
      <c r="AC45" s="22">
        <v>4</v>
      </c>
      <c r="AD45" s="22">
        <f>SUM(AD41:AD44)</f>
        <v>0</v>
      </c>
      <c r="AE45" s="14">
        <f t="shared" si="8"/>
        <v>-119.37186293436207</v>
      </c>
      <c r="AF45" s="428">
        <f t="shared" si="9"/>
        <v>0.96020937902187931</v>
      </c>
      <c r="AG45" s="628"/>
    </row>
    <row r="46" spans="1:33" ht="15.75" customHeight="1">
      <c r="A46" s="621" t="s">
        <v>2230</v>
      </c>
      <c r="B46" s="27" t="s">
        <v>5</v>
      </c>
      <c r="C46" s="660" t="s">
        <v>15</v>
      </c>
      <c r="D46" s="660"/>
      <c r="E46" s="27">
        <v>59.04</v>
      </c>
      <c r="F46" s="30">
        <v>1491</v>
      </c>
      <c r="G46" s="423">
        <f t="shared" ref="G46:G53" si="35">E46*F46</f>
        <v>88028.64</v>
      </c>
      <c r="H46" s="31" t="s">
        <v>40</v>
      </c>
      <c r="I46" s="432">
        <v>19</v>
      </c>
      <c r="J46" s="29">
        <v>2000</v>
      </c>
      <c r="K46" s="12">
        <f t="shared" si="1"/>
        <v>105.26315789473684</v>
      </c>
      <c r="L46" s="432">
        <v>19</v>
      </c>
      <c r="M46" s="13">
        <f t="shared" ref="M46" si="36">F46/V46*60</f>
        <v>1903.4042553191491</v>
      </c>
      <c r="N46" s="13">
        <f t="shared" si="3"/>
        <v>100.17917133258679</v>
      </c>
      <c r="O46" s="14">
        <f t="shared" si="4"/>
        <v>0</v>
      </c>
      <c r="P46" s="15">
        <f t="shared" si="5"/>
        <v>-5.0839865621500451</v>
      </c>
      <c r="Q46" s="428">
        <f t="shared" si="6"/>
        <v>0.95170212765957451</v>
      </c>
      <c r="R46" s="616">
        <f>Q54</f>
        <v>0.96210153493929296</v>
      </c>
      <c r="S46" s="32">
        <v>0.20833333333333334</v>
      </c>
      <c r="T46" s="32">
        <v>0.24097222222222223</v>
      </c>
      <c r="U46" s="20"/>
      <c r="V46" s="433">
        <f t="shared" ref="V46:V53" si="37">(T46-S46)*24*60</f>
        <v>46.999999999999993</v>
      </c>
      <c r="W46" s="16"/>
      <c r="X46" s="16"/>
      <c r="Y46" s="20"/>
      <c r="Z46" s="20"/>
      <c r="AA46" s="612"/>
      <c r="AB46" s="612"/>
      <c r="AC46" s="136">
        <v>8</v>
      </c>
      <c r="AD46" s="18"/>
      <c r="AE46" s="14">
        <f t="shared" si="8"/>
        <v>-96.595744680850885</v>
      </c>
      <c r="AF46" s="428">
        <f t="shared" si="9"/>
        <v>0.95170212765957451</v>
      </c>
      <c r="AG46" s="616">
        <f>AF54</f>
        <v>0.96210153493929307</v>
      </c>
    </row>
    <row r="47" spans="1:33" ht="15.75" customHeight="1">
      <c r="A47" s="621" t="s">
        <v>2230</v>
      </c>
      <c r="B47" s="27" t="s">
        <v>5</v>
      </c>
      <c r="C47" s="660" t="s">
        <v>31</v>
      </c>
      <c r="D47" s="660"/>
      <c r="E47" s="27">
        <v>56.43</v>
      </c>
      <c r="F47" s="30">
        <v>1027</v>
      </c>
      <c r="G47" s="423">
        <f t="shared" si="35"/>
        <v>57953.61</v>
      </c>
      <c r="H47" s="31" t="s">
        <v>40</v>
      </c>
      <c r="I47" s="432">
        <v>22</v>
      </c>
      <c r="J47" s="29">
        <v>2000</v>
      </c>
      <c r="K47" s="12">
        <f t="shared" si="1"/>
        <v>90.909090909090907</v>
      </c>
      <c r="L47" s="432">
        <v>22</v>
      </c>
      <c r="M47" s="13">
        <f>F47/V47*60</f>
        <v>1925.625000000002</v>
      </c>
      <c r="N47" s="13">
        <f t="shared" si="3"/>
        <v>87.528409090909179</v>
      </c>
      <c r="O47" s="14">
        <f t="shared" si="4"/>
        <v>0</v>
      </c>
      <c r="P47" s="15">
        <f t="shared" si="5"/>
        <v>-3.3806818181817277</v>
      </c>
      <c r="Q47" s="428">
        <f t="shared" si="6"/>
        <v>0.96281250000000096</v>
      </c>
      <c r="R47" s="616"/>
      <c r="S47" s="32">
        <v>0.24513888888888891</v>
      </c>
      <c r="T47" s="32">
        <v>0.2673611111111111</v>
      </c>
      <c r="U47" s="423">
        <f t="shared" ref="U47:U53" si="38">IF(S47=TIME(17,0,0),"",(S47-T46)*24*60)</f>
        <v>6.0000000000000187</v>
      </c>
      <c r="V47" s="433">
        <f t="shared" si="37"/>
        <v>31.999999999999964</v>
      </c>
      <c r="W47" s="16"/>
      <c r="X47" s="16"/>
      <c r="Y47" s="16"/>
      <c r="Z47" s="16"/>
      <c r="AA47" s="612"/>
      <c r="AB47" s="612"/>
      <c r="AC47" s="136"/>
      <c r="AD47" s="18"/>
      <c r="AE47" s="14">
        <f t="shared" si="8"/>
        <v>-74.374999999997954</v>
      </c>
      <c r="AF47" s="428">
        <f t="shared" si="9"/>
        <v>0.96281250000000107</v>
      </c>
      <c r="AG47" s="616"/>
    </row>
    <row r="48" spans="1:33" ht="15.75" customHeight="1">
      <c r="A48" s="621" t="s">
        <v>2230</v>
      </c>
      <c r="B48" s="27" t="s">
        <v>5</v>
      </c>
      <c r="C48" s="605" t="s">
        <v>81</v>
      </c>
      <c r="D48" s="606"/>
      <c r="E48" s="27">
        <v>51.44</v>
      </c>
      <c r="F48" s="30">
        <v>1512</v>
      </c>
      <c r="G48" s="423">
        <f t="shared" si="35"/>
        <v>77777.279999999999</v>
      </c>
      <c r="H48" s="31" t="s">
        <v>40</v>
      </c>
      <c r="I48" s="432">
        <v>25</v>
      </c>
      <c r="J48" s="29">
        <v>2000</v>
      </c>
      <c r="K48" s="12">
        <f t="shared" si="1"/>
        <v>80</v>
      </c>
      <c r="L48" s="432">
        <v>25</v>
      </c>
      <c r="M48" s="13">
        <f t="shared" ref="M48:M53" si="39">F48/V48*60</f>
        <v>1930.2127659574471</v>
      </c>
      <c r="N48" s="13">
        <f t="shared" si="3"/>
        <v>77.208510638297881</v>
      </c>
      <c r="O48" s="14">
        <f t="shared" si="4"/>
        <v>0</v>
      </c>
      <c r="P48" s="15">
        <f t="shared" si="5"/>
        <v>-2.7914893617021193</v>
      </c>
      <c r="Q48" s="428">
        <f t="shared" si="6"/>
        <v>0.96510638297872353</v>
      </c>
      <c r="R48" s="616"/>
      <c r="S48" s="32">
        <v>0.27083333333333331</v>
      </c>
      <c r="T48" s="32">
        <v>0.3034722222222222</v>
      </c>
      <c r="U48" s="423">
        <f t="shared" si="38"/>
        <v>4.9999999999999822</v>
      </c>
      <c r="V48" s="433">
        <f t="shared" si="37"/>
        <v>46.999999999999993</v>
      </c>
      <c r="W48" s="16"/>
      <c r="X48" s="16"/>
      <c r="Y48" s="19"/>
      <c r="Z48" s="19"/>
      <c r="AA48" s="612"/>
      <c r="AB48" s="612"/>
      <c r="AC48" s="136"/>
      <c r="AD48" s="18"/>
      <c r="AE48" s="14">
        <f t="shared" si="8"/>
        <v>-69.787234042552882</v>
      </c>
      <c r="AF48" s="428">
        <f t="shared" si="9"/>
        <v>0.96510638297872353</v>
      </c>
      <c r="AG48" s="616"/>
    </row>
    <row r="49" spans="1:33" ht="15.75" customHeight="1">
      <c r="A49" s="621" t="s">
        <v>2230</v>
      </c>
      <c r="B49" s="27" t="s">
        <v>8</v>
      </c>
      <c r="C49" s="424" t="s">
        <v>61</v>
      </c>
      <c r="D49" s="425"/>
      <c r="E49" s="27">
        <v>46</v>
      </c>
      <c r="F49" s="30">
        <v>1542</v>
      </c>
      <c r="G49" s="423">
        <f t="shared" si="35"/>
        <v>70932</v>
      </c>
      <c r="H49" s="31" t="s">
        <v>40</v>
      </c>
      <c r="I49" s="432">
        <v>16</v>
      </c>
      <c r="J49" s="29">
        <v>2000</v>
      </c>
      <c r="K49" s="12">
        <f t="shared" si="1"/>
        <v>125</v>
      </c>
      <c r="L49" s="432">
        <v>16</v>
      </c>
      <c r="M49" s="13">
        <f t="shared" si="39"/>
        <v>1927.5000000000005</v>
      </c>
      <c r="N49" s="13">
        <f t="shared" si="3"/>
        <v>120.46875000000003</v>
      </c>
      <c r="O49" s="14">
        <f t="shared" si="4"/>
        <v>0</v>
      </c>
      <c r="P49" s="15">
        <f t="shared" si="5"/>
        <v>-4.5312499999999716</v>
      </c>
      <c r="Q49" s="428">
        <f t="shared" si="6"/>
        <v>0.96375000000000022</v>
      </c>
      <c r="R49" s="616"/>
      <c r="S49" s="32">
        <v>0.30902777777777773</v>
      </c>
      <c r="T49" s="32">
        <v>0.34236111111111106</v>
      </c>
      <c r="U49" s="423">
        <f t="shared" si="38"/>
        <v>7.9999999999999716</v>
      </c>
      <c r="V49" s="433">
        <f t="shared" si="37"/>
        <v>47.999999999999986</v>
      </c>
      <c r="W49" s="16"/>
      <c r="X49" s="16"/>
      <c r="Y49" s="19"/>
      <c r="Z49" s="19"/>
      <c r="AA49" s="612"/>
      <c r="AB49" s="612"/>
      <c r="AC49" s="136"/>
      <c r="AD49" s="18"/>
      <c r="AE49" s="14">
        <f t="shared" si="8"/>
        <v>-72.499999999999545</v>
      </c>
      <c r="AF49" s="428">
        <f t="shared" si="9"/>
        <v>0.96375000000000022</v>
      </c>
      <c r="AG49" s="616"/>
    </row>
    <row r="50" spans="1:33" ht="15.75" customHeight="1">
      <c r="A50" s="621" t="s">
        <v>71</v>
      </c>
      <c r="B50" s="27" t="s">
        <v>8</v>
      </c>
      <c r="C50" s="424" t="s">
        <v>79</v>
      </c>
      <c r="D50" s="425"/>
      <c r="E50" s="27">
        <v>46</v>
      </c>
      <c r="F50" s="30">
        <v>2002</v>
      </c>
      <c r="G50" s="423">
        <f t="shared" si="35"/>
        <v>92092</v>
      </c>
      <c r="H50" s="31" t="s">
        <v>40</v>
      </c>
      <c r="I50" s="432">
        <v>17</v>
      </c>
      <c r="J50" s="29">
        <v>2000</v>
      </c>
      <c r="K50" s="12">
        <f t="shared" si="1"/>
        <v>117.64705882352941</v>
      </c>
      <c r="L50" s="432">
        <v>17</v>
      </c>
      <c r="M50" s="13">
        <f t="shared" si="39"/>
        <v>1906.6666666666663</v>
      </c>
      <c r="N50" s="13">
        <f t="shared" si="3"/>
        <v>112.15686274509801</v>
      </c>
      <c r="O50" s="14">
        <f t="shared" si="4"/>
        <v>0</v>
      </c>
      <c r="P50" s="15">
        <f t="shared" si="5"/>
        <v>-5.4901960784313957</v>
      </c>
      <c r="Q50" s="428">
        <f t="shared" si="6"/>
        <v>0.95333333333333314</v>
      </c>
      <c r="R50" s="616"/>
      <c r="S50" s="32">
        <v>0.34652777777777771</v>
      </c>
      <c r="T50" s="32">
        <v>0.39027777777777772</v>
      </c>
      <c r="U50" s="423">
        <f t="shared" si="38"/>
        <v>5.9999999999999787</v>
      </c>
      <c r="V50" s="433">
        <f t="shared" si="37"/>
        <v>63.000000000000014</v>
      </c>
      <c r="W50" s="16"/>
      <c r="X50" s="16"/>
      <c r="Y50" s="19"/>
      <c r="Z50" s="19"/>
      <c r="AA50" s="612"/>
      <c r="AB50" s="612"/>
      <c r="AC50" s="136"/>
      <c r="AD50" s="18"/>
      <c r="AE50" s="14">
        <f t="shared" si="8"/>
        <v>-93.333333333333712</v>
      </c>
      <c r="AF50" s="428">
        <f t="shared" si="9"/>
        <v>0.95333333333333314</v>
      </c>
      <c r="AG50" s="616"/>
    </row>
    <row r="51" spans="1:33" ht="15.75" customHeight="1">
      <c r="A51" s="621" t="s">
        <v>71</v>
      </c>
      <c r="B51" s="27" t="s">
        <v>5</v>
      </c>
      <c r="C51" s="605" t="s">
        <v>77</v>
      </c>
      <c r="D51" s="606"/>
      <c r="E51" s="27">
        <v>54.09</v>
      </c>
      <c r="F51" s="30">
        <v>756</v>
      </c>
      <c r="G51" s="423">
        <f t="shared" si="35"/>
        <v>40892.04</v>
      </c>
      <c r="H51" s="31" t="s">
        <v>40</v>
      </c>
      <c r="I51" s="432">
        <v>13</v>
      </c>
      <c r="J51" s="29">
        <v>2000</v>
      </c>
      <c r="K51" s="12">
        <f t="shared" si="1"/>
        <v>153.84615384615384</v>
      </c>
      <c r="L51" s="432">
        <v>13</v>
      </c>
      <c r="M51" s="13">
        <f t="shared" si="39"/>
        <v>1972.1739130434714</v>
      </c>
      <c r="N51" s="13">
        <f t="shared" si="3"/>
        <v>151.70568561872858</v>
      </c>
      <c r="O51" s="14">
        <f t="shared" si="4"/>
        <v>0</v>
      </c>
      <c r="P51" s="15">
        <f t="shared" si="5"/>
        <v>-2.1404682274252593</v>
      </c>
      <c r="Q51" s="428">
        <f t="shared" si="6"/>
        <v>0.98608695652173584</v>
      </c>
      <c r="R51" s="616"/>
      <c r="S51" s="32">
        <v>0.70833333333333337</v>
      </c>
      <c r="T51" s="32">
        <v>0.72430555555555565</v>
      </c>
      <c r="U51" s="423" t="str">
        <f t="shared" si="38"/>
        <v/>
      </c>
      <c r="V51" s="433">
        <f t="shared" si="37"/>
        <v>23.000000000000078</v>
      </c>
      <c r="W51" s="16"/>
      <c r="X51" s="16"/>
      <c r="Y51" s="19"/>
      <c r="Z51" s="19"/>
      <c r="AA51" s="607"/>
      <c r="AB51" s="608"/>
      <c r="AC51" s="136"/>
      <c r="AD51" s="18"/>
      <c r="AE51" s="14">
        <f t="shared" si="8"/>
        <v>-27.82608695652857</v>
      </c>
      <c r="AF51" s="428">
        <f t="shared" si="9"/>
        <v>0.98608695652173572</v>
      </c>
      <c r="AG51" s="616"/>
    </row>
    <row r="52" spans="1:33" ht="15.75" customHeight="1">
      <c r="A52" s="621" t="s">
        <v>2230</v>
      </c>
      <c r="B52" s="27" t="s">
        <v>5</v>
      </c>
      <c r="C52" s="605" t="s">
        <v>7</v>
      </c>
      <c r="D52" s="606"/>
      <c r="E52" s="27">
        <v>50.67</v>
      </c>
      <c r="F52" s="30">
        <v>1060</v>
      </c>
      <c r="G52" s="423">
        <f t="shared" si="35"/>
        <v>53710.200000000004</v>
      </c>
      <c r="H52" s="31" t="s">
        <v>40</v>
      </c>
      <c r="I52" s="432">
        <v>15</v>
      </c>
      <c r="J52" s="29">
        <v>2000</v>
      </c>
      <c r="K52" s="12">
        <f t="shared" si="1"/>
        <v>133.33333333333334</v>
      </c>
      <c r="L52" s="432">
        <v>15</v>
      </c>
      <c r="M52" s="13">
        <f t="shared" si="39"/>
        <v>1927.272727272725</v>
      </c>
      <c r="N52" s="13">
        <f t="shared" si="3"/>
        <v>128.48484848484833</v>
      </c>
      <c r="O52" s="14">
        <f t="shared" si="4"/>
        <v>0</v>
      </c>
      <c r="P52" s="15">
        <f t="shared" si="5"/>
        <v>-4.8484848484850147</v>
      </c>
      <c r="Q52" s="428">
        <f t="shared" si="6"/>
        <v>0.9636363636363624</v>
      </c>
      <c r="R52" s="616"/>
      <c r="S52" s="32">
        <v>0.72916666666666674</v>
      </c>
      <c r="T52" s="32">
        <v>0.75208333333333344</v>
      </c>
      <c r="U52" s="423">
        <f t="shared" si="38"/>
        <v>6.9999999999999751</v>
      </c>
      <c r="V52" s="433">
        <f t="shared" si="37"/>
        <v>33.000000000000043</v>
      </c>
      <c r="W52" s="16"/>
      <c r="X52" s="16"/>
      <c r="Y52" s="19"/>
      <c r="Z52" s="19"/>
      <c r="AA52" s="607"/>
      <c r="AB52" s="608"/>
      <c r="AC52" s="136"/>
      <c r="AD52" s="18"/>
      <c r="AE52" s="14">
        <f t="shared" si="8"/>
        <v>-72.727272727275022</v>
      </c>
      <c r="AF52" s="428">
        <f t="shared" si="9"/>
        <v>0.96363636363636251</v>
      </c>
      <c r="AG52" s="616"/>
    </row>
    <row r="53" spans="1:33" ht="15.75" customHeight="1">
      <c r="A53" s="621" t="s">
        <v>71</v>
      </c>
      <c r="B53" s="27" t="s">
        <v>5</v>
      </c>
      <c r="C53" s="605" t="s">
        <v>62</v>
      </c>
      <c r="D53" s="606"/>
      <c r="E53" s="27">
        <v>51.06</v>
      </c>
      <c r="F53" s="30">
        <v>2471</v>
      </c>
      <c r="G53" s="423">
        <f t="shared" si="35"/>
        <v>126169.26000000001</v>
      </c>
      <c r="H53" s="31" t="s">
        <v>40</v>
      </c>
      <c r="I53" s="432">
        <v>13</v>
      </c>
      <c r="J53" s="29">
        <v>2000</v>
      </c>
      <c r="K53" s="12">
        <f t="shared" si="1"/>
        <v>153.84615384615384</v>
      </c>
      <c r="L53" s="432">
        <v>13</v>
      </c>
      <c r="M53" s="13">
        <f t="shared" si="39"/>
        <v>1900.7692307692296</v>
      </c>
      <c r="N53" s="13">
        <f t="shared" si="3"/>
        <v>146.21301775147919</v>
      </c>
      <c r="O53" s="14">
        <f t="shared" si="4"/>
        <v>0</v>
      </c>
      <c r="P53" s="15">
        <f t="shared" si="5"/>
        <v>-7.6331360946746543</v>
      </c>
      <c r="Q53" s="428">
        <f t="shared" si="6"/>
        <v>0.95038461538461472</v>
      </c>
      <c r="R53" s="616"/>
      <c r="S53" s="32">
        <v>0.75694444444444453</v>
      </c>
      <c r="T53" s="32">
        <v>0.81111111111111123</v>
      </c>
      <c r="U53" s="423">
        <f t="shared" si="38"/>
        <v>6.9999999999999751</v>
      </c>
      <c r="V53" s="433">
        <f t="shared" si="37"/>
        <v>78.000000000000043</v>
      </c>
      <c r="W53" s="16"/>
      <c r="X53" s="16"/>
      <c r="Y53" s="19"/>
      <c r="Z53" s="19"/>
      <c r="AA53" s="607"/>
      <c r="AB53" s="608"/>
      <c r="AC53" s="136"/>
      <c r="AD53" s="18"/>
      <c r="AE53" s="14">
        <f t="shared" si="8"/>
        <v>-99.23076923077042</v>
      </c>
      <c r="AF53" s="428">
        <f t="shared" si="9"/>
        <v>0.95038461538461483</v>
      </c>
      <c r="AG53" s="616"/>
    </row>
    <row r="54" spans="1:33">
      <c r="A54" s="622" t="s">
        <v>2230</v>
      </c>
      <c r="B54" s="27" t="s">
        <v>2224</v>
      </c>
      <c r="C54" s="658"/>
      <c r="D54" s="658"/>
      <c r="E54" s="429"/>
      <c r="F54" s="28"/>
      <c r="G54" s="12"/>
      <c r="H54" s="434"/>
      <c r="I54" s="21">
        <v>17.5</v>
      </c>
      <c r="J54" s="29">
        <v>2000</v>
      </c>
      <c r="K54" s="12">
        <f t="shared" si="1"/>
        <v>114.28571428571429</v>
      </c>
      <c r="L54" s="21">
        <v>17.5</v>
      </c>
      <c r="M54" s="13">
        <f>AVERAGE(M46:M53)</f>
        <v>1924.2030698785861</v>
      </c>
      <c r="N54" s="12">
        <f t="shared" si="3"/>
        <v>109.9544611359192</v>
      </c>
      <c r="O54" s="14">
        <f t="shared" si="4"/>
        <v>0</v>
      </c>
      <c r="P54" s="15">
        <f t="shared" si="5"/>
        <v>-4.3312531497950886</v>
      </c>
      <c r="Q54" s="428">
        <f t="shared" si="6"/>
        <v>0.96210153493929296</v>
      </c>
      <c r="R54" s="616"/>
      <c r="S54" s="32"/>
      <c r="T54" s="32"/>
      <c r="U54" s="423"/>
      <c r="V54" s="433"/>
      <c r="W54" s="12"/>
      <c r="X54" s="12"/>
      <c r="Y54" s="22">
        <f>SUM(Y46:Y53)</f>
        <v>0</v>
      </c>
      <c r="Z54" s="22">
        <f>SUM(Z46:Z53)</f>
        <v>0</v>
      </c>
      <c r="AA54" s="611"/>
      <c r="AB54" s="611"/>
      <c r="AC54" s="22">
        <v>8</v>
      </c>
      <c r="AD54" s="22">
        <f>SUM(AD46:AD53)</f>
        <v>0</v>
      </c>
      <c r="AE54" s="14">
        <f>M54-J54</f>
        <v>-75.79693012141388</v>
      </c>
      <c r="AF54" s="428">
        <f t="shared" si="9"/>
        <v>0.96210153493929307</v>
      </c>
      <c r="AG54" s="616"/>
    </row>
    <row r="55" spans="1:33" ht="15.75" customHeight="1">
      <c r="A55" s="617" t="s">
        <v>2231</v>
      </c>
      <c r="B55" s="434" t="s">
        <v>27</v>
      </c>
      <c r="C55" s="660" t="s">
        <v>28</v>
      </c>
      <c r="D55" s="660"/>
      <c r="E55" s="27">
        <v>35.119999999999997</v>
      </c>
      <c r="F55" s="30">
        <v>3578</v>
      </c>
      <c r="G55" s="423">
        <f t="shared" ref="G55:G58" si="40">E55*F55</f>
        <v>125659.35999999999</v>
      </c>
      <c r="H55" s="31" t="s">
        <v>40</v>
      </c>
      <c r="I55" s="432">
        <v>10</v>
      </c>
      <c r="J55" s="29">
        <v>3000</v>
      </c>
      <c r="K55" s="12">
        <f t="shared" si="1"/>
        <v>300</v>
      </c>
      <c r="L55" s="432">
        <v>10</v>
      </c>
      <c r="M55" s="13">
        <f t="shared" ref="M55:M58" si="41">F55/V55*60</f>
        <v>2862.3999999999992</v>
      </c>
      <c r="N55" s="12">
        <f t="shared" si="3"/>
        <v>286.2399999999999</v>
      </c>
      <c r="O55" s="14">
        <f t="shared" si="4"/>
        <v>0</v>
      </c>
      <c r="P55" s="15">
        <f t="shared" si="5"/>
        <v>-13.760000000000105</v>
      </c>
      <c r="Q55" s="428">
        <f t="shared" si="6"/>
        <v>0.95413333333333294</v>
      </c>
      <c r="R55" s="616">
        <f>Q59</f>
        <v>0.96228637873754086</v>
      </c>
      <c r="S55" s="32">
        <v>0.20833333333333334</v>
      </c>
      <c r="T55" s="32">
        <v>0.26041666666666669</v>
      </c>
      <c r="U55" s="423"/>
      <c r="V55" s="433">
        <f t="shared" ref="V55:V58" si="42">(T55-S55)*24*60</f>
        <v>75.000000000000014</v>
      </c>
      <c r="W55" s="16"/>
      <c r="X55" s="16"/>
      <c r="Y55" s="20"/>
      <c r="Z55" s="20"/>
      <c r="AA55" s="612"/>
      <c r="AB55" s="612"/>
      <c r="AC55" s="136">
        <v>4</v>
      </c>
      <c r="AD55" s="18"/>
      <c r="AE55" s="14">
        <f t="shared" ref="AE55:AE65" si="43">M55-J55</f>
        <v>-137.60000000000082</v>
      </c>
      <c r="AF55" s="428">
        <f t="shared" si="9"/>
        <v>0.95413333333333306</v>
      </c>
      <c r="AG55" s="616">
        <f>AF59</f>
        <v>0.96228637873754086</v>
      </c>
    </row>
    <row r="56" spans="1:33" ht="15.75" customHeight="1">
      <c r="A56" s="617" t="s">
        <v>2231</v>
      </c>
      <c r="B56" s="434" t="s">
        <v>27</v>
      </c>
      <c r="C56" s="660" t="s">
        <v>34</v>
      </c>
      <c r="D56" s="660"/>
      <c r="E56" s="27">
        <v>26.78</v>
      </c>
      <c r="F56" s="30">
        <v>2050</v>
      </c>
      <c r="G56" s="423">
        <f t="shared" si="40"/>
        <v>54899</v>
      </c>
      <c r="H56" s="31" t="s">
        <v>40</v>
      </c>
      <c r="I56" s="432">
        <v>10</v>
      </c>
      <c r="J56" s="29">
        <v>3000</v>
      </c>
      <c r="K56" s="12">
        <f t="shared" si="1"/>
        <v>300</v>
      </c>
      <c r="L56" s="432">
        <v>10</v>
      </c>
      <c r="M56" s="13">
        <f t="shared" si="41"/>
        <v>2860.4651162790692</v>
      </c>
      <c r="N56" s="12">
        <f t="shared" si="3"/>
        <v>286.04651162790691</v>
      </c>
      <c r="O56" s="14">
        <f t="shared" si="4"/>
        <v>0</v>
      </c>
      <c r="P56" s="15">
        <f t="shared" si="5"/>
        <v>-13.953488372093091</v>
      </c>
      <c r="Q56" s="428">
        <f t="shared" si="6"/>
        <v>0.95348837209302306</v>
      </c>
      <c r="R56" s="616"/>
      <c r="S56" s="32">
        <v>0.26597222222222222</v>
      </c>
      <c r="T56" s="32">
        <v>0.29583333333333334</v>
      </c>
      <c r="U56" s="423">
        <f t="shared" ref="U56:U58" si="44">(S56-T55)*24*60</f>
        <v>7.9999999999999716</v>
      </c>
      <c r="V56" s="433">
        <f t="shared" si="42"/>
        <v>43.000000000000007</v>
      </c>
      <c r="W56" s="423"/>
      <c r="X56" s="423"/>
      <c r="Y56" s="423"/>
      <c r="Z56" s="423"/>
      <c r="AA56" s="612"/>
      <c r="AB56" s="612"/>
      <c r="AC56" s="136"/>
      <c r="AD56" s="18"/>
      <c r="AE56" s="14">
        <f t="shared" si="43"/>
        <v>-139.53488372093079</v>
      </c>
      <c r="AF56" s="428">
        <f t="shared" si="9"/>
        <v>0.95348837209302306</v>
      </c>
      <c r="AG56" s="616"/>
    </row>
    <row r="57" spans="1:33" ht="15.75" customHeight="1">
      <c r="A57" s="617" t="s">
        <v>285</v>
      </c>
      <c r="B57" s="434" t="s">
        <v>27</v>
      </c>
      <c r="C57" s="660" t="s">
        <v>36</v>
      </c>
      <c r="D57" s="660"/>
      <c r="E57" s="27">
        <v>34.35</v>
      </c>
      <c r="F57" s="30">
        <v>734</v>
      </c>
      <c r="G57" s="423">
        <f t="shared" si="40"/>
        <v>25212.9</v>
      </c>
      <c r="H57" s="31" t="s">
        <v>40</v>
      </c>
      <c r="I57" s="432">
        <v>8</v>
      </c>
      <c r="J57" s="29">
        <v>3000</v>
      </c>
      <c r="K57" s="12">
        <f t="shared" si="1"/>
        <v>375</v>
      </c>
      <c r="L57" s="432">
        <v>8</v>
      </c>
      <c r="M57" s="13">
        <f t="shared" si="41"/>
        <v>2935.9999999999945</v>
      </c>
      <c r="N57" s="12">
        <f t="shared" si="3"/>
        <v>366.99999999999932</v>
      </c>
      <c r="O57" s="14">
        <f t="shared" si="4"/>
        <v>0</v>
      </c>
      <c r="P57" s="15">
        <f t="shared" si="5"/>
        <v>-8.0000000000006821</v>
      </c>
      <c r="Q57" s="428">
        <f t="shared" si="6"/>
        <v>0.9786666666666648</v>
      </c>
      <c r="R57" s="616"/>
      <c r="S57" s="32">
        <v>0.29930555555555555</v>
      </c>
      <c r="T57" s="32">
        <v>0.30972222222222223</v>
      </c>
      <c r="U57" s="423">
        <f t="shared" si="44"/>
        <v>4.9999999999999822</v>
      </c>
      <c r="V57" s="433">
        <f t="shared" si="42"/>
        <v>15.000000000000027</v>
      </c>
      <c r="W57" s="423"/>
      <c r="X57" s="423"/>
      <c r="Y57" s="423"/>
      <c r="Z57" s="423"/>
      <c r="AA57" s="612"/>
      <c r="AB57" s="612"/>
      <c r="AC57" s="136"/>
      <c r="AD57" s="18"/>
      <c r="AE57" s="14">
        <f t="shared" si="43"/>
        <v>-64.000000000005457</v>
      </c>
      <c r="AF57" s="428">
        <f t="shared" si="9"/>
        <v>0.9786666666666648</v>
      </c>
      <c r="AG57" s="616"/>
    </row>
    <row r="58" spans="1:33" ht="15.75" customHeight="1">
      <c r="A58" s="617" t="s">
        <v>285</v>
      </c>
      <c r="B58" s="434" t="s">
        <v>27</v>
      </c>
      <c r="C58" s="660" t="s">
        <v>737</v>
      </c>
      <c r="D58" s="660"/>
      <c r="E58" s="27">
        <v>36.14</v>
      </c>
      <c r="F58" s="30">
        <v>2022</v>
      </c>
      <c r="G58" s="423">
        <f t="shared" si="40"/>
        <v>73075.08</v>
      </c>
      <c r="H58" s="31" t="s">
        <v>40</v>
      </c>
      <c r="I58" s="432">
        <v>11</v>
      </c>
      <c r="J58" s="29">
        <v>3000</v>
      </c>
      <c r="K58" s="12">
        <f t="shared" si="1"/>
        <v>272.72727272727275</v>
      </c>
      <c r="L58" s="432">
        <v>11</v>
      </c>
      <c r="M58" s="13">
        <f t="shared" si="41"/>
        <v>2888.5714285714275</v>
      </c>
      <c r="N58" s="12">
        <f t="shared" si="3"/>
        <v>262.59740259740249</v>
      </c>
      <c r="O58" s="14">
        <f t="shared" si="4"/>
        <v>0</v>
      </c>
      <c r="P58" s="15">
        <f t="shared" si="5"/>
        <v>-10.129870129870255</v>
      </c>
      <c r="Q58" s="428">
        <f t="shared" si="6"/>
        <v>0.96285714285714241</v>
      </c>
      <c r="R58" s="616"/>
      <c r="S58" s="32">
        <v>0.31458333333333333</v>
      </c>
      <c r="T58" s="32">
        <v>0.34375</v>
      </c>
      <c r="U58" s="423">
        <f t="shared" si="44"/>
        <v>6.9999999999999751</v>
      </c>
      <c r="V58" s="433">
        <f t="shared" si="42"/>
        <v>42.000000000000014</v>
      </c>
      <c r="W58" s="423"/>
      <c r="X58" s="423"/>
      <c r="Y58" s="423"/>
      <c r="Z58" s="423"/>
      <c r="AA58" s="612"/>
      <c r="AB58" s="612"/>
      <c r="AC58" s="136"/>
      <c r="AD58" s="18"/>
      <c r="AE58" s="14">
        <f t="shared" si="43"/>
        <v>-111.42857142857247</v>
      </c>
      <c r="AF58" s="428">
        <f t="shared" si="9"/>
        <v>0.96285714285714252</v>
      </c>
      <c r="AG58" s="616"/>
    </row>
    <row r="59" spans="1:33">
      <c r="A59" s="618" t="s">
        <v>2232</v>
      </c>
      <c r="B59" s="27" t="s">
        <v>186</v>
      </c>
      <c r="C59" s="658"/>
      <c r="D59" s="658"/>
      <c r="E59" s="429"/>
      <c r="F59" s="28"/>
      <c r="G59" s="12"/>
      <c r="H59" s="434"/>
      <c r="I59" s="21">
        <v>9.75</v>
      </c>
      <c r="J59" s="29">
        <v>3000</v>
      </c>
      <c r="K59" s="12">
        <f t="shared" si="1"/>
        <v>307.69230769230768</v>
      </c>
      <c r="L59" s="21">
        <v>9.75</v>
      </c>
      <c r="M59" s="13">
        <f>AVERAGE(M55:M58)</f>
        <v>2886.8591362126226</v>
      </c>
      <c r="N59" s="12">
        <f t="shared" si="3"/>
        <v>296.08811653462794</v>
      </c>
      <c r="O59" s="14">
        <f t="shared" si="4"/>
        <v>0</v>
      </c>
      <c r="P59" s="15">
        <f t="shared" si="5"/>
        <v>-11.604191157679736</v>
      </c>
      <c r="Q59" s="428">
        <f t="shared" si="6"/>
        <v>0.96228637873754086</v>
      </c>
      <c r="R59" s="616"/>
      <c r="S59" s="32"/>
      <c r="T59" s="32"/>
      <c r="U59" s="12"/>
      <c r="V59" s="433"/>
      <c r="W59" s="12"/>
      <c r="X59" s="12"/>
      <c r="Y59" s="22">
        <f>SUM(Y55:Y58)</f>
        <v>0</v>
      </c>
      <c r="Z59" s="22">
        <f>SUM(Z55:Z58)</f>
        <v>0</v>
      </c>
      <c r="AA59" s="611"/>
      <c r="AB59" s="611"/>
      <c r="AC59" s="22">
        <v>4</v>
      </c>
      <c r="AD59" s="22">
        <f>SUM(AD55:AD58)</f>
        <v>0</v>
      </c>
      <c r="AE59" s="14">
        <f t="shared" si="43"/>
        <v>-113.14086378737738</v>
      </c>
      <c r="AF59" s="428">
        <f t="shared" si="9"/>
        <v>0.96228637873754086</v>
      </c>
      <c r="AG59" s="616"/>
    </row>
    <row r="60" spans="1:33" ht="15.75" customHeight="1">
      <c r="A60" s="613" t="s">
        <v>82</v>
      </c>
      <c r="B60" s="434" t="s">
        <v>20</v>
      </c>
      <c r="C60" s="660" t="s">
        <v>39</v>
      </c>
      <c r="D60" s="660"/>
      <c r="E60" s="27">
        <v>19.02</v>
      </c>
      <c r="F60" s="434">
        <v>7255</v>
      </c>
      <c r="G60" s="423">
        <f t="shared" ref="G60:G64" si="45">E60*F60</f>
        <v>137990.1</v>
      </c>
      <c r="H60" s="31" t="s">
        <v>40</v>
      </c>
      <c r="I60" s="432">
        <v>14</v>
      </c>
      <c r="J60" s="29">
        <v>2400</v>
      </c>
      <c r="K60" s="12">
        <f t="shared" si="1"/>
        <v>171.42857142857142</v>
      </c>
      <c r="L60" s="432">
        <v>14</v>
      </c>
      <c r="M60" s="13">
        <f t="shared" ref="M60:M64" si="46">F60/V60*60</f>
        <v>2291.0526315789466</v>
      </c>
      <c r="N60" s="12">
        <f t="shared" si="3"/>
        <v>163.64661654135332</v>
      </c>
      <c r="O60" s="14">
        <f t="shared" si="4"/>
        <v>0</v>
      </c>
      <c r="P60" s="15">
        <f t="shared" si="5"/>
        <v>-7.7819548872180917</v>
      </c>
      <c r="Q60" s="428">
        <f t="shared" si="6"/>
        <v>0.95460526315789451</v>
      </c>
      <c r="R60" s="616">
        <f>Q65</f>
        <v>0.95521288933470905</v>
      </c>
      <c r="S60" s="32">
        <v>8.3333333333333329E-2</v>
      </c>
      <c r="T60" s="32">
        <v>0.21527777777777779</v>
      </c>
      <c r="U60" s="20"/>
      <c r="V60" s="433">
        <f t="shared" ref="V60:V64" si="47">(T60-S60)*24*60</f>
        <v>190.00000000000006</v>
      </c>
      <c r="W60" s="16">
        <f>T60</f>
        <v>0.21527777777777779</v>
      </c>
      <c r="X60" s="16">
        <f>S61</f>
        <v>0.23611111111111113</v>
      </c>
      <c r="Y60" s="16"/>
      <c r="Z60" s="16"/>
      <c r="AA60" s="612"/>
      <c r="AB60" s="612"/>
      <c r="AC60" s="136">
        <v>5</v>
      </c>
      <c r="AD60" s="18"/>
      <c r="AE60" s="14">
        <f t="shared" si="43"/>
        <v>-108.9473684210534</v>
      </c>
      <c r="AF60" s="428">
        <f t="shared" si="9"/>
        <v>0.9546052631578944</v>
      </c>
      <c r="AG60" s="616">
        <f>AF65</f>
        <v>0.95521288933470905</v>
      </c>
    </row>
    <row r="61" spans="1:33" ht="15.75" customHeight="1">
      <c r="A61" s="614" t="s">
        <v>82</v>
      </c>
      <c r="B61" s="434" t="s">
        <v>20</v>
      </c>
      <c r="C61" s="660" t="s">
        <v>24</v>
      </c>
      <c r="D61" s="660"/>
      <c r="E61" s="27">
        <v>20.36</v>
      </c>
      <c r="F61" s="434">
        <v>3173</v>
      </c>
      <c r="G61" s="423">
        <f t="shared" si="45"/>
        <v>64602.28</v>
      </c>
      <c r="H61" s="31" t="s">
        <v>40</v>
      </c>
      <c r="I61" s="432">
        <v>17</v>
      </c>
      <c r="J61" s="29">
        <v>2400</v>
      </c>
      <c r="K61" s="12">
        <f t="shared" si="1"/>
        <v>141.1764705882353</v>
      </c>
      <c r="L61" s="432">
        <v>17</v>
      </c>
      <c r="M61" s="13">
        <f t="shared" si="46"/>
        <v>2293.7349397590365</v>
      </c>
      <c r="N61" s="12">
        <f t="shared" si="3"/>
        <v>134.92558469170802</v>
      </c>
      <c r="O61" s="14">
        <f t="shared" si="4"/>
        <v>0</v>
      </c>
      <c r="P61" s="15">
        <f t="shared" si="5"/>
        <v>-6.2508858965272793</v>
      </c>
      <c r="Q61" s="428">
        <f t="shared" si="6"/>
        <v>0.95572289156626511</v>
      </c>
      <c r="R61" s="616"/>
      <c r="S61" s="32">
        <v>0.23611111111111113</v>
      </c>
      <c r="T61" s="32">
        <v>0.29375000000000001</v>
      </c>
      <c r="U61" s="423">
        <f t="shared" ref="U61:U64" si="48">(S61-T60)*24*60</f>
        <v>30.000000000000014</v>
      </c>
      <c r="V61" s="433">
        <f t="shared" si="47"/>
        <v>82.999999999999986</v>
      </c>
      <c r="W61" s="16"/>
      <c r="X61" s="16"/>
      <c r="Y61" s="16"/>
      <c r="Z61" s="16"/>
      <c r="AA61" s="612"/>
      <c r="AB61" s="612"/>
      <c r="AC61" s="136"/>
      <c r="AD61" s="18"/>
      <c r="AE61" s="14">
        <f t="shared" si="43"/>
        <v>-106.26506024096352</v>
      </c>
      <c r="AF61" s="428">
        <f t="shared" si="9"/>
        <v>0.95572289156626522</v>
      </c>
      <c r="AG61" s="616"/>
    </row>
    <row r="62" spans="1:33" ht="15.75" customHeight="1">
      <c r="A62" s="614" t="s">
        <v>2233</v>
      </c>
      <c r="B62" s="434" t="s">
        <v>20</v>
      </c>
      <c r="C62" s="660" t="s">
        <v>80</v>
      </c>
      <c r="D62" s="660"/>
      <c r="E62" s="27">
        <v>25.98</v>
      </c>
      <c r="F62" s="434">
        <v>2686</v>
      </c>
      <c r="G62" s="423">
        <f t="shared" si="45"/>
        <v>69782.28</v>
      </c>
      <c r="H62" s="31" t="s">
        <v>40</v>
      </c>
      <c r="I62" s="432">
        <v>17</v>
      </c>
      <c r="J62" s="29">
        <v>2400</v>
      </c>
      <c r="K62" s="12">
        <f t="shared" si="1"/>
        <v>141.1764705882353</v>
      </c>
      <c r="L62" s="432">
        <v>17</v>
      </c>
      <c r="M62" s="13">
        <f t="shared" si="46"/>
        <v>2302.2857142857147</v>
      </c>
      <c r="N62" s="12">
        <f t="shared" si="3"/>
        <v>135.42857142857144</v>
      </c>
      <c r="O62" s="14">
        <f t="shared" si="4"/>
        <v>0</v>
      </c>
      <c r="P62" s="15">
        <f t="shared" si="5"/>
        <v>-5.7478991596638593</v>
      </c>
      <c r="Q62" s="428">
        <f t="shared" si="6"/>
        <v>0.9592857142857143</v>
      </c>
      <c r="R62" s="616"/>
      <c r="S62" s="32">
        <v>0.29930555555555555</v>
      </c>
      <c r="T62" s="32">
        <v>0.34791666666666665</v>
      </c>
      <c r="U62" s="423">
        <f t="shared" si="48"/>
        <v>7.9999999999999716</v>
      </c>
      <c r="V62" s="433">
        <f t="shared" si="47"/>
        <v>69.999999999999986</v>
      </c>
      <c r="W62" s="16"/>
      <c r="X62" s="16"/>
      <c r="Y62" s="16"/>
      <c r="Z62" s="16"/>
      <c r="AA62" s="612"/>
      <c r="AB62" s="612"/>
      <c r="AC62" s="136"/>
      <c r="AD62" s="18"/>
      <c r="AE62" s="14">
        <f t="shared" si="43"/>
        <v>-97.714285714285325</v>
      </c>
      <c r="AF62" s="428">
        <f t="shared" si="9"/>
        <v>0.95928571428571441</v>
      </c>
      <c r="AG62" s="616"/>
    </row>
    <row r="63" spans="1:33" ht="15.75" customHeight="1">
      <c r="A63" s="614" t="s">
        <v>2233</v>
      </c>
      <c r="B63" s="434" t="s">
        <v>20</v>
      </c>
      <c r="C63" s="660" t="s">
        <v>739</v>
      </c>
      <c r="D63" s="660"/>
      <c r="E63" s="27">
        <v>28.29</v>
      </c>
      <c r="F63" s="434">
        <v>4354</v>
      </c>
      <c r="G63" s="423">
        <f t="shared" si="45"/>
        <v>123174.66</v>
      </c>
      <c r="H63" s="31" t="s">
        <v>40</v>
      </c>
      <c r="I63" s="432">
        <v>21</v>
      </c>
      <c r="J63" s="29">
        <v>2400</v>
      </c>
      <c r="K63" s="12">
        <f t="shared" si="1"/>
        <v>114.28571428571429</v>
      </c>
      <c r="L63" s="432">
        <v>21</v>
      </c>
      <c r="M63" s="13">
        <f t="shared" si="46"/>
        <v>2291.5789473684208</v>
      </c>
      <c r="N63" s="12">
        <f t="shared" si="3"/>
        <v>109.12280701754385</v>
      </c>
      <c r="O63" s="14">
        <f t="shared" si="4"/>
        <v>0</v>
      </c>
      <c r="P63" s="15">
        <f t="shared" si="5"/>
        <v>-5.1629072681704429</v>
      </c>
      <c r="Q63" s="428">
        <f t="shared" si="6"/>
        <v>0.95482456140350858</v>
      </c>
      <c r="R63" s="616"/>
      <c r="S63" s="32">
        <v>0.3520833333333333</v>
      </c>
      <c r="T63" s="32">
        <v>0.43124999999999997</v>
      </c>
      <c r="U63" s="423">
        <f t="shared" si="48"/>
        <v>5.9999999999999787</v>
      </c>
      <c r="V63" s="433">
        <f t="shared" si="47"/>
        <v>114</v>
      </c>
      <c r="W63" s="16"/>
      <c r="X63" s="16"/>
      <c r="Y63" s="16"/>
      <c r="Z63" s="16"/>
      <c r="AA63" s="612"/>
      <c r="AB63" s="612"/>
      <c r="AC63" s="136"/>
      <c r="AD63" s="18"/>
      <c r="AE63" s="14">
        <f t="shared" si="43"/>
        <v>-108.42105263157919</v>
      </c>
      <c r="AF63" s="428">
        <f t="shared" si="9"/>
        <v>0.95482456140350869</v>
      </c>
      <c r="AG63" s="616"/>
    </row>
    <row r="64" spans="1:33" ht="15.75" customHeight="1">
      <c r="A64" s="614" t="s">
        <v>82</v>
      </c>
      <c r="B64" s="434" t="s">
        <v>20</v>
      </c>
      <c r="C64" s="660" t="s">
        <v>1420</v>
      </c>
      <c r="D64" s="660"/>
      <c r="E64" s="27">
        <v>24.25</v>
      </c>
      <c r="F64" s="434">
        <v>4682</v>
      </c>
      <c r="G64" s="423">
        <f t="shared" si="45"/>
        <v>113538.5</v>
      </c>
      <c r="H64" s="31" t="s">
        <v>40</v>
      </c>
      <c r="I64" s="432">
        <v>17</v>
      </c>
      <c r="J64" s="29">
        <v>2400</v>
      </c>
      <c r="K64" s="12">
        <f t="shared" si="1"/>
        <v>141.1764705882353</v>
      </c>
      <c r="L64" s="432">
        <v>17</v>
      </c>
      <c r="M64" s="13">
        <f t="shared" si="46"/>
        <v>2283.9024390243908</v>
      </c>
      <c r="N64" s="12">
        <f t="shared" si="3"/>
        <v>134.34720229555239</v>
      </c>
      <c r="O64" s="14">
        <f t="shared" si="4"/>
        <v>0</v>
      </c>
      <c r="P64" s="15">
        <f t="shared" si="5"/>
        <v>-6.8292682926829116</v>
      </c>
      <c r="Q64" s="428">
        <f t="shared" si="6"/>
        <v>0.95162601626016274</v>
      </c>
      <c r="R64" s="616"/>
      <c r="S64" s="32">
        <v>0.43611111111111106</v>
      </c>
      <c r="T64" s="32">
        <v>0.5215277777777777</v>
      </c>
      <c r="U64" s="423">
        <f t="shared" si="48"/>
        <v>6.9999999999999751</v>
      </c>
      <c r="V64" s="433">
        <f t="shared" si="47"/>
        <v>122.99999999999996</v>
      </c>
      <c r="W64" s="16"/>
      <c r="X64" s="16"/>
      <c r="Y64" s="16"/>
      <c r="Z64" s="16"/>
      <c r="AA64" s="612"/>
      <c r="AB64" s="612"/>
      <c r="AC64" s="136"/>
      <c r="AD64" s="18"/>
      <c r="AE64" s="14">
        <f t="shared" si="43"/>
        <v>-116.09756097560921</v>
      </c>
      <c r="AF64" s="428">
        <f t="shared" si="9"/>
        <v>0.95162601626016285</v>
      </c>
      <c r="AG64" s="616"/>
    </row>
    <row r="65" spans="1:33" ht="16.5" customHeight="1">
      <c r="A65" s="615" t="s">
        <v>82</v>
      </c>
      <c r="B65" s="27" t="s">
        <v>186</v>
      </c>
      <c r="C65" s="609"/>
      <c r="D65" s="610"/>
      <c r="E65" s="429"/>
      <c r="F65" s="28"/>
      <c r="G65" s="12"/>
      <c r="H65" s="434"/>
      <c r="I65" s="21">
        <v>17.2</v>
      </c>
      <c r="J65" s="29">
        <v>2400</v>
      </c>
      <c r="K65" s="12">
        <f t="shared" si="1"/>
        <v>139.53488372093022</v>
      </c>
      <c r="L65" s="21">
        <v>17.2</v>
      </c>
      <c r="M65" s="13">
        <f>AVERAGE(M60:M64)</f>
        <v>2292.5109344033017</v>
      </c>
      <c r="N65" s="12">
        <f t="shared" si="3"/>
        <v>133.28551944205242</v>
      </c>
      <c r="O65" s="14">
        <f t="shared" si="4"/>
        <v>0</v>
      </c>
      <c r="P65" s="15">
        <f t="shared" si="5"/>
        <v>-6.2493642788778061</v>
      </c>
      <c r="Q65" s="428">
        <f t="shared" si="6"/>
        <v>0.95521288933470905</v>
      </c>
      <c r="R65" s="616"/>
      <c r="S65" s="32"/>
      <c r="T65" s="32"/>
      <c r="U65" s="12"/>
      <c r="V65" s="433"/>
      <c r="W65" s="12"/>
      <c r="X65" s="12"/>
      <c r="Y65" s="22">
        <f>SUM(Y60:Y64)</f>
        <v>0</v>
      </c>
      <c r="Z65" s="22">
        <f>SUM(Z60:Z64)</f>
        <v>0</v>
      </c>
      <c r="AA65" s="611"/>
      <c r="AB65" s="611"/>
      <c r="AC65" s="22">
        <v>5</v>
      </c>
      <c r="AD65" s="22">
        <f>SUM(AD60:AD64)</f>
        <v>0</v>
      </c>
      <c r="AE65" s="14">
        <f t="shared" si="43"/>
        <v>-107.48906559669831</v>
      </c>
      <c r="AF65" s="428">
        <f t="shared" si="9"/>
        <v>0.95521288933470905</v>
      </c>
      <c r="AG65" s="616"/>
    </row>
    <row r="66" spans="1:33">
      <c r="D66" s="23"/>
      <c r="E66" s="23"/>
    </row>
  </sheetData>
  <mergeCells count="17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13:AG20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A32:AB32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C27:D27"/>
    <mergeCell ref="AA27:AB27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33:D33"/>
    <mergeCell ref="A34:A40"/>
    <mergeCell ref="C34:D34"/>
    <mergeCell ref="R34:R40"/>
    <mergeCell ref="AA34:AB34"/>
    <mergeCell ref="AG34:AG40"/>
    <mergeCell ref="C35:D35"/>
    <mergeCell ref="AA35:AB35"/>
    <mergeCell ref="C36:D36"/>
    <mergeCell ref="AA36:AB36"/>
    <mergeCell ref="C37:D37"/>
    <mergeCell ref="A28:A33"/>
    <mergeCell ref="C28:D28"/>
    <mergeCell ref="R28:R33"/>
    <mergeCell ref="AA28:AB28"/>
    <mergeCell ref="AA33:AB33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C38:D38"/>
    <mergeCell ref="AA38:AB38"/>
    <mergeCell ref="C39:D39"/>
    <mergeCell ref="AA39:AB39"/>
    <mergeCell ref="C40:D40"/>
    <mergeCell ref="AA40:AB40"/>
    <mergeCell ref="AA44:AB44"/>
    <mergeCell ref="C45:D45"/>
    <mergeCell ref="AA45:AB45"/>
    <mergeCell ref="AG41:AG45"/>
    <mergeCell ref="C42:D42"/>
    <mergeCell ref="AA42:AB42"/>
    <mergeCell ref="C43:D43"/>
    <mergeCell ref="AA43:AB43"/>
    <mergeCell ref="C44:D44"/>
    <mergeCell ref="A46:A54"/>
    <mergeCell ref="C46:D46"/>
    <mergeCell ref="R46:R54"/>
    <mergeCell ref="AA46:AB46"/>
    <mergeCell ref="AA52:AB52"/>
    <mergeCell ref="C53:D53"/>
    <mergeCell ref="AA53:AB53"/>
    <mergeCell ref="AG46:AG54"/>
    <mergeCell ref="C58:D58"/>
    <mergeCell ref="AA58:AB58"/>
    <mergeCell ref="C59:D59"/>
    <mergeCell ref="AA59:AB59"/>
    <mergeCell ref="A41:A45"/>
    <mergeCell ref="C41:D41"/>
    <mergeCell ref="R41:R45"/>
    <mergeCell ref="AA41:AB41"/>
    <mergeCell ref="C54:D54"/>
    <mergeCell ref="AA54:AB54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60:A65"/>
    <mergeCell ref="C60:D60"/>
    <mergeCell ref="R60:R65"/>
    <mergeCell ref="AA60:AB60"/>
    <mergeCell ref="A55:A59"/>
    <mergeCell ref="C55:D55"/>
    <mergeCell ref="R55:R59"/>
    <mergeCell ref="AA55:AB55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G55:AG59"/>
    <mergeCell ref="C56:D56"/>
    <mergeCell ref="AA56:AB56"/>
    <mergeCell ref="C57:D57"/>
    <mergeCell ref="AA57:AB57"/>
  </mergeCells>
  <phoneticPr fontId="3" type="noConversion"/>
  <conditionalFormatting sqref="O54:O55 O58:O65 O5:O8 O12:O14 O20:O51">
    <cfRule type="cellIs" dxfId="1634" priority="51" operator="greaterThan">
      <formula>0</formula>
    </cfRule>
  </conditionalFormatting>
  <conditionalFormatting sqref="P5:P6 P58 AE58 P60:P64 P28:P32 P55 P8 P12:P14 P21:P26 P46:P51 P34:P44 AE5:AE55 AE60:AE65">
    <cfRule type="cellIs" dxfId="1633" priority="55" operator="lessThan">
      <formula>0</formula>
    </cfRule>
  </conditionalFormatting>
  <conditionalFormatting sqref="AF58 Q54:Q55 Q58:Q65 Q5:Q8 Q12:Q14 Q20:Q51 AF5:AF55 AF60:AF65">
    <cfRule type="cellIs" dxfId="1632" priority="52" operator="greaterThan">
      <formula>1</formula>
    </cfRule>
    <cfRule type="cellIs" dxfId="1631" priority="53" operator="lessThan">
      <formula>0.8</formula>
    </cfRule>
  </conditionalFormatting>
  <conditionalFormatting sqref="AG13:AG14 R13:R14 AG58 AG54:AG55 R54:R55 R58:R65 AG5:AG8 R5:R8 AG20:AG51 R20:R51">
    <cfRule type="cellIs" dxfId="1630" priority="57" operator="lessThan">
      <formula>0.8</formula>
    </cfRule>
  </conditionalFormatting>
  <conditionalFormatting sqref="AG41">
    <cfRule type="cellIs" dxfId="1629" priority="59" operator="lessThan">
      <formula>0.8</formula>
    </cfRule>
  </conditionalFormatting>
  <conditionalFormatting sqref="AG21:AG26">
    <cfRule type="cellIs" dxfId="1628" priority="56" operator="lessThan">
      <formula>0.8</formula>
    </cfRule>
  </conditionalFormatting>
  <conditionalFormatting sqref="AG28">
    <cfRule type="cellIs" dxfId="1627" priority="58" operator="lessThan">
      <formula>0.8</formula>
    </cfRule>
  </conditionalFormatting>
  <conditionalFormatting sqref="AG34:AG39">
    <cfRule type="cellIs" dxfId="1626" priority="54" operator="lessThan">
      <formula>0.8</formula>
    </cfRule>
  </conditionalFormatting>
  <conditionalFormatting sqref="AE59">
    <cfRule type="cellIs" dxfId="1625" priority="50" operator="lessThan">
      <formula>0</formula>
    </cfRule>
  </conditionalFormatting>
  <conditionalFormatting sqref="AF59">
    <cfRule type="cellIs" dxfId="1624" priority="48" operator="greaterThan">
      <formula>1</formula>
    </cfRule>
    <cfRule type="cellIs" dxfId="1623" priority="49" operator="lessThan">
      <formula>0.8</formula>
    </cfRule>
  </conditionalFormatting>
  <conditionalFormatting sqref="O15:O16">
    <cfRule type="cellIs" dxfId="1622" priority="43" operator="greaterThan">
      <formula>0</formula>
    </cfRule>
  </conditionalFormatting>
  <conditionalFormatting sqref="P15:P16">
    <cfRule type="cellIs" dxfId="1621" priority="46" operator="lessThan">
      <formula>0</formula>
    </cfRule>
  </conditionalFormatting>
  <conditionalFormatting sqref="Q15:Q16">
    <cfRule type="cellIs" dxfId="1620" priority="44" operator="greaterThan">
      <formula>1</formula>
    </cfRule>
    <cfRule type="cellIs" dxfId="1619" priority="45" operator="lessThan">
      <formula>0.8</formula>
    </cfRule>
  </conditionalFormatting>
  <conditionalFormatting sqref="R15:R16 AG15:AG16">
    <cfRule type="cellIs" dxfId="1618" priority="47" operator="lessThan">
      <formula>0.8</formula>
    </cfRule>
  </conditionalFormatting>
  <conditionalFormatting sqref="O9:O11">
    <cfRule type="cellIs" dxfId="1617" priority="39" operator="greaterThan">
      <formula>0</formula>
    </cfRule>
  </conditionalFormatting>
  <conditionalFormatting sqref="P9:P11">
    <cfRule type="cellIs" dxfId="1616" priority="42" operator="lessThan">
      <formula>0</formula>
    </cfRule>
  </conditionalFormatting>
  <conditionalFormatting sqref="Q9:Q11">
    <cfRule type="cellIs" dxfId="1615" priority="40" operator="greaterThan">
      <formula>1</formula>
    </cfRule>
    <cfRule type="cellIs" dxfId="1614" priority="41" operator="lessThan">
      <formula>0.8</formula>
    </cfRule>
  </conditionalFormatting>
  <conditionalFormatting sqref="O52">
    <cfRule type="cellIs" dxfId="1613" priority="34" operator="greaterThan">
      <formula>0</formula>
    </cfRule>
  </conditionalFormatting>
  <conditionalFormatting sqref="P52">
    <cfRule type="cellIs" dxfId="1612" priority="37" operator="lessThan">
      <formula>0</formula>
    </cfRule>
  </conditionalFormatting>
  <conditionalFormatting sqref="Q52">
    <cfRule type="cellIs" dxfId="1611" priority="35" operator="greaterThan">
      <formula>1</formula>
    </cfRule>
    <cfRule type="cellIs" dxfId="1610" priority="36" operator="lessThan">
      <formula>0.8</formula>
    </cfRule>
  </conditionalFormatting>
  <conditionalFormatting sqref="R52 AG52">
    <cfRule type="cellIs" dxfId="1609" priority="38" operator="lessThan">
      <formula>0.8</formula>
    </cfRule>
  </conditionalFormatting>
  <conditionalFormatting sqref="O57">
    <cfRule type="cellIs" dxfId="1608" priority="29" operator="greaterThan">
      <formula>0</formula>
    </cfRule>
  </conditionalFormatting>
  <conditionalFormatting sqref="P57 AE57">
    <cfRule type="cellIs" dxfId="1607" priority="32" operator="lessThan">
      <formula>0</formula>
    </cfRule>
  </conditionalFormatting>
  <conditionalFormatting sqref="Q57 AF57">
    <cfRule type="cellIs" dxfId="1606" priority="30" operator="greaterThan">
      <formula>1</formula>
    </cfRule>
    <cfRule type="cellIs" dxfId="1605" priority="31" operator="lessThan">
      <formula>0.8</formula>
    </cfRule>
  </conditionalFormatting>
  <conditionalFormatting sqref="R57 AG57">
    <cfRule type="cellIs" dxfId="1604" priority="33" operator="lessThan">
      <formula>0.8</formula>
    </cfRule>
  </conditionalFormatting>
  <conditionalFormatting sqref="O17:O18">
    <cfRule type="cellIs" dxfId="1603" priority="24" operator="greaterThan">
      <formula>0</formula>
    </cfRule>
  </conditionalFormatting>
  <conditionalFormatting sqref="P17:P18">
    <cfRule type="cellIs" dxfId="1602" priority="27" operator="lessThan">
      <formula>0</formula>
    </cfRule>
  </conditionalFormatting>
  <conditionalFormatting sqref="Q17:Q18">
    <cfRule type="cellIs" dxfId="1601" priority="25" operator="greaterThan">
      <formula>1</formula>
    </cfRule>
    <cfRule type="cellIs" dxfId="1600" priority="26" operator="lessThan">
      <formula>0.8</formula>
    </cfRule>
  </conditionalFormatting>
  <conditionalFormatting sqref="R17:R18 AG17:AG18">
    <cfRule type="cellIs" dxfId="1599" priority="28" operator="lessThan">
      <formula>0.8</formula>
    </cfRule>
  </conditionalFormatting>
  <conditionalFormatting sqref="O53">
    <cfRule type="cellIs" dxfId="1598" priority="19" operator="greaterThan">
      <formula>0</formula>
    </cfRule>
  </conditionalFormatting>
  <conditionalFormatting sqref="P53">
    <cfRule type="cellIs" dxfId="1597" priority="22" operator="lessThan">
      <formula>0</formula>
    </cfRule>
  </conditionalFormatting>
  <conditionalFormatting sqref="Q53">
    <cfRule type="cellIs" dxfId="1596" priority="20" operator="greaterThan">
      <formula>1</formula>
    </cfRule>
    <cfRule type="cellIs" dxfId="1595" priority="21" operator="lessThan">
      <formula>0.8</formula>
    </cfRule>
  </conditionalFormatting>
  <conditionalFormatting sqref="AG53 R53">
    <cfRule type="cellIs" dxfId="1594" priority="23" operator="lessThan">
      <formula>0.8</formula>
    </cfRule>
  </conditionalFormatting>
  <conditionalFormatting sqref="O56">
    <cfRule type="cellIs" dxfId="1593" priority="14" operator="greaterThan">
      <formula>0</formula>
    </cfRule>
  </conditionalFormatting>
  <conditionalFormatting sqref="P56 AE56">
    <cfRule type="cellIs" dxfId="1592" priority="17" operator="lessThan">
      <formula>0</formula>
    </cfRule>
  </conditionalFormatting>
  <conditionalFormatting sqref="Q56 AF56">
    <cfRule type="cellIs" dxfId="1591" priority="15" operator="greaterThan">
      <formula>1</formula>
    </cfRule>
    <cfRule type="cellIs" dxfId="1590" priority="16" operator="lessThan">
      <formula>0.8</formula>
    </cfRule>
  </conditionalFormatting>
  <conditionalFormatting sqref="R56 AG56">
    <cfRule type="cellIs" dxfId="1589" priority="18" operator="lessThan">
      <formula>0.8</formula>
    </cfRule>
  </conditionalFormatting>
  <conditionalFormatting sqref="O19">
    <cfRule type="cellIs" dxfId="1588" priority="9" operator="greaterThan">
      <formula>0</formula>
    </cfRule>
  </conditionalFormatting>
  <conditionalFormatting sqref="P19">
    <cfRule type="cellIs" dxfId="1587" priority="12" operator="lessThan">
      <formula>0</formula>
    </cfRule>
  </conditionalFormatting>
  <conditionalFormatting sqref="Q19">
    <cfRule type="cellIs" dxfId="1586" priority="10" operator="greaterThan">
      <formula>1</formula>
    </cfRule>
    <cfRule type="cellIs" dxfId="1585" priority="11" operator="lessThan">
      <formula>0.8</formula>
    </cfRule>
  </conditionalFormatting>
  <conditionalFormatting sqref="AG19 R19">
    <cfRule type="cellIs" dxfId="1584" priority="13" operator="lessThan">
      <formula>0.8</formula>
    </cfRule>
  </conditionalFormatting>
  <conditionalFormatting sqref="P7">
    <cfRule type="cellIs" dxfId="1583" priority="8" operator="lessThan">
      <formula>0</formula>
    </cfRule>
  </conditionalFormatting>
  <conditionalFormatting sqref="P20">
    <cfRule type="cellIs" dxfId="1582" priority="7" operator="lessThan">
      <formula>0</formula>
    </cfRule>
  </conditionalFormatting>
  <conditionalFormatting sqref="P27">
    <cfRule type="cellIs" dxfId="1581" priority="6" operator="lessThan">
      <formula>0</formula>
    </cfRule>
  </conditionalFormatting>
  <conditionalFormatting sqref="P33">
    <cfRule type="cellIs" dxfId="1580" priority="5" operator="lessThan">
      <formula>0</formula>
    </cfRule>
  </conditionalFormatting>
  <conditionalFormatting sqref="P45">
    <cfRule type="cellIs" dxfId="1579" priority="4" operator="lessThan">
      <formula>0</formula>
    </cfRule>
  </conditionalFormatting>
  <conditionalFormatting sqref="P54">
    <cfRule type="cellIs" dxfId="1578" priority="3" operator="lessThan">
      <formula>0</formula>
    </cfRule>
  </conditionalFormatting>
  <conditionalFormatting sqref="P59">
    <cfRule type="cellIs" dxfId="1577" priority="2" operator="lessThan">
      <formula>0</formula>
    </cfRule>
  </conditionalFormatting>
  <conditionalFormatting sqref="P65">
    <cfRule type="cellIs" dxfId="1576" priority="1" operator="lessThan">
      <formula>0</formula>
    </cfRule>
  </conditionalFormatting>
  <dataValidations count="1">
    <dataValidation type="list" allowBlank="1" showInputMessage="1" showErrorMessage="1" sqref="AB7 AA5:AB6 AA7:AA58 AB9:AB55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3" sqref="F3:G3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2070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2071</v>
      </c>
      <c r="C3" s="594" t="str">
        <f>TEXT('0723 4度C'!A2,"yyyy.mm.ddaaaa")</f>
        <v>2026.07.23星期四</v>
      </c>
      <c r="D3" s="595"/>
      <c r="E3" s="36" t="s">
        <v>2072</v>
      </c>
      <c r="F3" s="596">
        <f>'0723 4度C'!D1</f>
        <v>167683</v>
      </c>
      <c r="G3" s="597"/>
      <c r="H3" s="36" t="s">
        <v>2073</v>
      </c>
      <c r="I3" s="598">
        <f>'0723 4度C'!F1</f>
        <v>5716704.6499999994</v>
      </c>
      <c r="J3" s="599"/>
      <c r="K3" s="37"/>
      <c r="L3" s="38"/>
      <c r="M3" s="39"/>
      <c r="N3" s="39"/>
    </row>
    <row r="4" spans="2:17" ht="28.5" customHeight="1">
      <c r="B4" s="600" t="s">
        <v>2074</v>
      </c>
      <c r="C4" s="586" t="s">
        <v>2075</v>
      </c>
      <c r="D4" s="587"/>
      <c r="E4" s="603" t="s">
        <v>2076</v>
      </c>
      <c r="F4" s="604"/>
      <c r="G4" s="603" t="s">
        <v>2077</v>
      </c>
      <c r="H4" s="604"/>
      <c r="I4" s="603" t="s">
        <v>2078</v>
      </c>
      <c r="J4" s="604"/>
      <c r="K4" s="584" t="s">
        <v>2079</v>
      </c>
      <c r="L4" s="585"/>
      <c r="M4" s="585" t="s">
        <v>2080</v>
      </c>
      <c r="N4" s="585"/>
    </row>
    <row r="5" spans="2:17" ht="28.5" customHeight="1">
      <c r="B5" s="601"/>
      <c r="C5" s="586" t="s">
        <v>2081</v>
      </c>
      <c r="D5" s="587"/>
      <c r="E5" s="586" t="s">
        <v>2082</v>
      </c>
      <c r="F5" s="587"/>
      <c r="G5" s="588" t="s">
        <v>2083</v>
      </c>
      <c r="H5" s="589"/>
      <c r="I5" s="590" t="s">
        <v>2084</v>
      </c>
      <c r="J5" s="591"/>
      <c r="K5" s="40" t="s">
        <v>2085</v>
      </c>
      <c r="L5" s="41" t="s">
        <v>2086</v>
      </c>
      <c r="M5" s="40" t="s">
        <v>2085</v>
      </c>
      <c r="N5" s="41" t="s">
        <v>2087</v>
      </c>
    </row>
    <row r="6" spans="2:17" ht="28.5" customHeight="1">
      <c r="B6" s="601"/>
      <c r="C6" s="586" t="s">
        <v>41</v>
      </c>
      <c r="D6" s="587"/>
      <c r="E6" s="578">
        <f>AVERAGE(D13:M13)</f>
        <v>157.35536428578058</v>
      </c>
      <c r="F6" s="579">
        <f>AVERAGE(D31:O31,D13:J13)</f>
        <v>166.51318779551551</v>
      </c>
      <c r="G6" s="580">
        <f>AVERAGE(D13:J13)</f>
        <v>166.51318779551551</v>
      </c>
      <c r="H6" s="581"/>
      <c r="I6" s="580">
        <f>AVERAGE(K13:M13)</f>
        <v>135.98710942973239</v>
      </c>
      <c r="J6" s="581"/>
      <c r="K6" s="582">
        <f>'0723 4度C'!Y2</f>
        <v>0</v>
      </c>
      <c r="L6" s="567">
        <f>'0723 4度C'!Z2</f>
        <v>0</v>
      </c>
      <c r="M6" s="583">
        <f>'0723 4度C'!AC2</f>
        <v>57</v>
      </c>
      <c r="N6" s="567">
        <f>'0723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150.88609122896935</v>
      </c>
      <c r="F7" s="571">
        <f>AVERAGE(D32:O32,D14:J14)</f>
        <v>159.69643632686251</v>
      </c>
      <c r="G7" s="572">
        <f>AVERAGE(D14:J14)</f>
        <v>159.69643632686251</v>
      </c>
      <c r="H7" s="573"/>
      <c r="I7" s="572">
        <f>AVERAGE(K14:M14)</f>
        <v>130.32861933388537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0.95876443589322591</v>
      </c>
      <c r="F8" s="575">
        <f>AVERAGE(D15:J15,D33:O33)</f>
        <v>0.95892282304568766</v>
      </c>
      <c r="G8" s="576">
        <f>AVERAGE(D15:J15)</f>
        <v>0.95892282304568766</v>
      </c>
      <c r="H8" s="577"/>
      <c r="I8" s="576">
        <f>AVERAGE(K15:M15)</f>
        <v>0.9583948658708149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2088</v>
      </c>
      <c r="N9" s="39"/>
      <c r="O9" s="39"/>
      <c r="P9" s="39"/>
      <c r="Q9" s="39"/>
    </row>
    <row r="10" spans="2:17" ht="30" customHeight="1">
      <c r="B10" s="550" t="s">
        <v>2089</v>
      </c>
      <c r="C10" s="551"/>
      <c r="D10" s="552" t="s">
        <v>2090</v>
      </c>
      <c r="E10" s="553"/>
      <c r="F10" s="553"/>
      <c r="G10" s="553"/>
      <c r="H10" s="553"/>
      <c r="I10" s="553"/>
      <c r="J10" s="554"/>
      <c r="K10" s="555" t="s">
        <v>2091</v>
      </c>
      <c r="L10" s="556"/>
      <c r="M10" s="557"/>
      <c r="P10" s="45"/>
      <c r="Q10" s="45"/>
    </row>
    <row r="11" spans="2:17" ht="17.25" customHeight="1">
      <c r="B11" s="558" t="s">
        <v>106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107</v>
      </c>
      <c r="C13" s="52" t="s">
        <v>108</v>
      </c>
      <c r="D13" s="53">
        <f>SUMIFS('0723 4度C'!$K:$K,'0723 4度C'!$A:$A,"新豐6線",'0723 4度C'!$B:$B,"平均")</f>
        <v>129.03225806451613</v>
      </c>
      <c r="E13" s="54">
        <f>SUMIFS('0723 4度C'!$K:$K,'0723 4度C'!$A:$A,"新豐2線",'0723 4度C'!$B:$B,"平均")</f>
        <v>86.206896551724142</v>
      </c>
      <c r="F13" s="55">
        <f>SUMIFS('0723 4度C'!$K:$K,'0723 4度C'!$A:$A,"新豐5線",'0723 4度C'!$B:$B,"平均")</f>
        <v>93.023255813953497</v>
      </c>
      <c r="G13" s="55">
        <f>SUMIFS('0723 4度C'!$K:$K,'0723 4度C'!$A:$A,"新豐7線",'0723 4度C'!$B:$B,"平均")</f>
        <v>127.65957446808511</v>
      </c>
      <c r="H13" s="55">
        <f>SUMIFS('0723 4度C'!$K:$K,'0723 4度C'!$A:$A,"新豐3線",'0723 4度C'!$B:$B,"平均")</f>
        <v>307.69230769230768</v>
      </c>
      <c r="I13" s="55">
        <f>SUMIFS('0723 4度C'!$K:$K,'0723 4度C'!$A:$A,"新豐1線",'0723 4度C'!$B:$B,"平均")</f>
        <v>114.28571428571429</v>
      </c>
      <c r="J13" s="56">
        <f>SUMIFS('0723 4度C'!$K:$K,'0723 4度C'!$A:$A,"新豐10線",'0723 4度C'!$B:$B,"平均")</f>
        <v>307.69230769230768</v>
      </c>
      <c r="K13" s="57">
        <f>SUMIFS('0723 4度C'!$K:$K,'0723 4度C'!$A:$A,"新豐8線",'0723 4度C'!$B:$B,"平均")</f>
        <v>137.70491803278691</v>
      </c>
      <c r="L13" s="58">
        <f>SUMIFS('0723 4度C'!$K:$K,'0723 4度C'!$A:$A,"新豐9線",'0723 4度C'!$B:$B,"平均")</f>
        <v>126.66666666666667</v>
      </c>
      <c r="M13" s="56">
        <f>SUMIFS('0723 4度C'!$K:$K,'0723 4度C'!$A:$A,"新豐4線",'0723 4度C'!$B:$B,"平均")</f>
        <v>143.58974358974359</v>
      </c>
    </row>
    <row r="14" spans="2:17" ht="39.6" customHeight="1">
      <c r="B14" s="563"/>
      <c r="C14" s="59" t="s">
        <v>2092</v>
      </c>
      <c r="D14" s="60">
        <f>SUMIFS('0723 4度C'!$N:$N,'0723 4度C'!$A:$A,"新豐6線",'0723 4度C'!$B:$B,"平均")</f>
        <v>123.77980364656395</v>
      </c>
      <c r="E14" s="61">
        <f>SUMIFS('0723 4度C'!$N:$N,'0723 4度C'!$A:$A,"新豐2線",'0723 4度C'!$B:$B,"平均")</f>
        <v>82.482999238799749</v>
      </c>
      <c r="F14" s="61">
        <f>SUMIFS('0723 4度C'!$N:$N,'0723 4度C'!$A:$A,"新豐5線",'0723 4度C'!$B:$B,"平均")</f>
        <v>89.061947143750203</v>
      </c>
      <c r="G14" s="61">
        <f>SUMIFS('0723 4度C'!$N:$N,'0723 4度C'!$A:$A,"新豐7線",'0723 4度C'!$B:$B,"平均")</f>
        <v>122.42938221668452</v>
      </c>
      <c r="H14" s="61">
        <f>SUMIFS('0723 4度C'!$N:$N,'0723 4度C'!$A:$A,"新豐3線",'0723 4度C'!$B:$B,"平均")</f>
        <v>295.0931316814345</v>
      </c>
      <c r="I14" s="61">
        <f>SUMIFS('0723 4度C'!$N:$N,'0723 4度C'!$A:$A,"新豐1線",'0723 4度C'!$B:$B,"平均")</f>
        <v>109.91352777434774</v>
      </c>
      <c r="J14" s="62">
        <f>SUMIFS('0723 4度C'!$N:$N,'0723 4度C'!$A:$A,"新豐10線",'0723 4度C'!$B:$B,"平均")</f>
        <v>295.11426258645679</v>
      </c>
      <c r="K14" s="63">
        <f>SUMIFS('0723 4度C'!$N:$N,'0723 4度C'!$A:$A,"新豐8線",'0723 4度C'!$B:$B,"平均")</f>
        <v>132.13873166138373</v>
      </c>
      <c r="L14" s="64">
        <f>SUMIFS('0723 4度C'!$N:$N,'0723 4度C'!$A:$A,"新豐9線",'0723 4度C'!$B:$B,"平均")</f>
        <v>121.36088118646293</v>
      </c>
      <c r="M14" s="62">
        <f>SUMIFS('0723 4度C'!$N:$N,'0723 4度C'!$A:$A,"新豐4線",'0723 4度C'!$B:$B,"平均")</f>
        <v>137.48624515380942</v>
      </c>
    </row>
    <row r="15" spans="2:17" ht="40.15" customHeight="1">
      <c r="B15" s="564"/>
      <c r="C15" s="65" t="s">
        <v>2093</v>
      </c>
      <c r="D15" s="66">
        <f t="shared" ref="D15:M15" si="0">D14/D13</f>
        <v>0.95929347826087064</v>
      </c>
      <c r="E15" s="67">
        <f t="shared" si="0"/>
        <v>0.95680279117007705</v>
      </c>
      <c r="F15" s="67">
        <f t="shared" si="0"/>
        <v>0.95741593179531459</v>
      </c>
      <c r="G15" s="67">
        <f t="shared" si="0"/>
        <v>0.95903016069736202</v>
      </c>
      <c r="H15" s="67">
        <f t="shared" si="0"/>
        <v>0.9590526779646622</v>
      </c>
      <c r="I15" s="67">
        <f t="shared" si="0"/>
        <v>0.96174336802554272</v>
      </c>
      <c r="J15" s="68">
        <f t="shared" si="0"/>
        <v>0.95912135340598459</v>
      </c>
      <c r="K15" s="66">
        <f t="shared" si="0"/>
        <v>0.95957888468385788</v>
      </c>
      <c r="L15" s="67">
        <f t="shared" si="0"/>
        <v>0.95811221989312834</v>
      </c>
      <c r="M15" s="68">
        <f t="shared" si="0"/>
        <v>0.9574934930354585</v>
      </c>
    </row>
    <row r="16" spans="2:17" ht="17.25" customHeight="1">
      <c r="B16" s="565" t="s">
        <v>2094</v>
      </c>
      <c r="C16" s="69" t="s">
        <v>2095</v>
      </c>
      <c r="D16" s="70">
        <f>VLOOKUP("新豐6線",'0723 4度C'!$A:$T,19,0)</f>
        <v>0.70833333333333337</v>
      </c>
      <c r="E16" s="71">
        <f>VLOOKUP("新豐2線",'0723 4度C'!$A:$T,19,0)</f>
        <v>8.3333333333333329E-2</v>
      </c>
      <c r="F16" s="71">
        <f>VLOOKUP("新豐5線",'0723 4度C'!$A:$T,19,0)</f>
        <v>8.3333333333333329E-2</v>
      </c>
      <c r="G16" s="71">
        <f>VLOOKUP("新豐7線",'0723 4度C'!$A:$T,19,0)</f>
        <v>0.20833333333333334</v>
      </c>
      <c r="H16" s="71">
        <f>VLOOKUP("新豐3線",'0723 4度C'!$A:$T,19,0)</f>
        <v>0.20833333333333334</v>
      </c>
      <c r="I16" s="71">
        <f>VLOOKUP("新豐1線",'0723 4度C'!$A:$T,19,0)</f>
        <v>0.20833333333333334</v>
      </c>
      <c r="J16" s="72">
        <f>VLOOKUP("新豐10線",'0723 4度C'!$A:$T,19,0)</f>
        <v>0.20833333333333334</v>
      </c>
      <c r="K16" s="73">
        <f>VLOOKUP("新豐8線",'0723 4度C'!$A:$T,19,0)</f>
        <v>8.3333333333333329E-2</v>
      </c>
      <c r="L16" s="74">
        <f>VLOOKUP("新豐9線",'0723 4度C'!$A:$T,19,0)</f>
        <v>8.3333333333333329E-2</v>
      </c>
      <c r="M16" s="75">
        <f>VLOOKUP("新豐4線",'0723 4度C'!$A:$T,19,0)</f>
        <v>8.3333333333333329E-2</v>
      </c>
    </row>
    <row r="17" spans="2:13" ht="17.25" customHeight="1">
      <c r="B17" s="566"/>
      <c r="C17" s="69" t="s">
        <v>2096</v>
      </c>
      <c r="D17" s="73">
        <f>LOOKUP(2,1/(('0723 4度C'!$A:$A="新豐6線")*('0723 4度C'!$T:$T&lt;&gt;"")),'0723 4度C'!$T:$T)</f>
        <v>0.8076388888888888</v>
      </c>
      <c r="E17" s="71">
        <f>LOOKUP(2,1/(('0723 4度C'!$A:$A="新豐2線")*('0723 4度C'!$T:$T&lt;&gt;"")),'0723 4度C'!$T:$T)</f>
        <v>0.61041666666666661</v>
      </c>
      <c r="F17" s="71">
        <f>LOOKUP(2,1/(('0723 4度C'!$A:$A="新豐5線")*('0723 4度C'!$T:$T&lt;&gt;"")),'0723 4度C'!$T:$T)</f>
        <v>0.84930555555555554</v>
      </c>
      <c r="G17" s="71">
        <f>LOOKUP(2,1/(('0723 4度C'!$A:$A="新豐7線")*('0723 4度C'!$T:$T&lt;&gt;"")),'0723 4度C'!$T:$T)</f>
        <v>0.86111111111111116</v>
      </c>
      <c r="H17" s="71">
        <f>LOOKUP(2,1/(('0723 4度C'!$A:$A="新豐3線")*('0723 4度C'!$T:$T&lt;&gt;"")),'0723 4度C'!$T:$T)</f>
        <v>0.43402777777777773</v>
      </c>
      <c r="I17" s="71">
        <f>LOOKUP(2,1/(('0723 4度C'!$A:$A="新豐1線")*('0723 4度C'!$T:$T&lt;&gt;"")),'0723 4度C'!$T:$T)</f>
        <v>0.82986111111111116</v>
      </c>
      <c r="J17" s="72">
        <f>LOOKUP(2,1/(('0723 4度C'!$A:$A="新豐10線")*('0723 4度C'!$T:$T&lt;&gt;"")),'0723 4度C'!$T:$T)</f>
        <v>0.36666666666666659</v>
      </c>
      <c r="K17" s="70">
        <f>LOOKUP(2,1/(('0723 4度C'!$A:$A="新豐8線")*('0723 4度C'!$T:$T&lt;&gt;"")),'0723 4度C'!$T:$T)</f>
        <v>0.65694444444444433</v>
      </c>
      <c r="L17" s="71">
        <f>LOOKUP(2,1/(('0723 4度C'!$A:$A="新豐9線")*('0723 4度C'!$T:$T&lt;&gt;"")),'0723 4度C'!$T:$T)</f>
        <v>0.67361111111111105</v>
      </c>
      <c r="M17" s="72">
        <f>LOOKUP(2,1/(('0723 4度C'!$A:$A="新豐4線")*('0723 4度C'!$T:$T&lt;&gt;"")),'0723 4度C'!$T:$T)</f>
        <v>0.68333333333333313</v>
      </c>
    </row>
    <row r="18" spans="2:13" ht="17.25" customHeight="1">
      <c r="B18" s="544" t="s">
        <v>2097</v>
      </c>
      <c r="C18" s="76" t="s">
        <v>2098</v>
      </c>
      <c r="D18" s="77">
        <f>SUMIFS('0723 4度C'!$Y:$Y,'0723 4度C'!$A:$A,"新豐6線",'0723 4度C'!$B:$B,"平均")</f>
        <v>0</v>
      </c>
      <c r="E18" s="78">
        <f>SUMIFS('0723 4度C'!$Y:$Y,'0723 4度C'!$A:$A,"新豐2線",'0723 4度C'!$B:$B,"平均")</f>
        <v>0</v>
      </c>
      <c r="F18" s="78">
        <f>SUMIFS('0723 4度C'!$Y:$Y,'0723 4度C'!$A:$A,"新豐5線",'0723 4度C'!$B:$B,"平均")</f>
        <v>0</v>
      </c>
      <c r="G18" s="78">
        <f>SUMIFS('0723 4度C'!$Y:$Y,'0723 4度C'!$A:$A,"新豐7線",'0723 4度C'!$B:$B,"平均")</f>
        <v>0</v>
      </c>
      <c r="H18" s="78">
        <f>SUMIFS('0723 4度C'!$Y:$Y,'0723 4度C'!$A:$A,"新豐3線",'0723 4度C'!$B:$B,"平均")</f>
        <v>0</v>
      </c>
      <c r="I18" s="78">
        <f>SUMIFS('0723 4度C'!$Y:$Y,'0723 4度C'!$A:$A,"新豐1線",'0723 4度C'!$B:$B,"平均")</f>
        <v>0</v>
      </c>
      <c r="J18" s="79">
        <f>SUMIFS('0723 4度C'!$Y:$Y,'0723 4度C'!$A:$A,"新豐10線",'0723 4度C'!$B:$B,"平均")</f>
        <v>0</v>
      </c>
      <c r="K18" s="80">
        <f>SUMIFS('0723 4度C'!$Y:$Y,'0723 4度C'!$A:$A,"新豐8線",'0723 4度C'!$B:$B,"平均")</f>
        <v>0</v>
      </c>
      <c r="L18" s="78">
        <f>SUMIFS('0723 4度C'!$Y:$Y,'0723 4度C'!$A:$A,"新豐9線",'0723 4度C'!$B:$B,"平均")</f>
        <v>0</v>
      </c>
      <c r="M18" s="79">
        <f>SUMIFS('0723 4度C'!$Y:$Y,'0723 4度C'!$A:$A,"新豐4線",'0723 4度C'!$B:$B,"平均")</f>
        <v>0</v>
      </c>
    </row>
    <row r="19" spans="2:13" ht="17.25" customHeight="1">
      <c r="B19" s="545"/>
      <c r="C19" s="76" t="s">
        <v>2099</v>
      </c>
      <c r="D19" s="77">
        <f>SUMIFS('0723 4度C'!$Z:$Z,'0723 4度C'!$A:$A,"新豐6線",'0723 4度C'!$B:$B,"平均")</f>
        <v>0</v>
      </c>
      <c r="E19" s="78">
        <f>SUMIFS('0723 4度C'!$Z:$Z,'0723 4度C'!$A:$A,"新豐2線",'0723 4度C'!$B:$B,"平均")</f>
        <v>0</v>
      </c>
      <c r="F19" s="78">
        <f>SUMIFS('0723 4度C'!$Z:$Z,'0723 4度C'!$A:$A,"新豐5線",'0723 4度C'!$B:$B,"平均")</f>
        <v>0</v>
      </c>
      <c r="G19" s="78">
        <f>SUMIFS('0723 4度C'!$Z:$Z,'0723 4度C'!$A:$A,"新豐7線",'0723 4度C'!$B:$B,"平均")</f>
        <v>0</v>
      </c>
      <c r="H19" s="78">
        <f>SUMIFS('0723 4度C'!$Z:$Z,'0723 4度C'!$A:$A,"新豐3線",'0723 4度C'!$B:$B,"平均")</f>
        <v>0</v>
      </c>
      <c r="I19" s="78">
        <f>SUMIFS('0723 4度C'!$Z:$Z,'0723 4度C'!$A:$A,"新豐1線",'0723 4度C'!$B:$B,"平均")</f>
        <v>0</v>
      </c>
      <c r="J19" s="79">
        <f>SUMIFS('0723 4度C'!$Z:$Z,'0723 4度C'!$A:$A,"新豐10線",'0723 4度C'!$B:$B,"平均")</f>
        <v>0</v>
      </c>
      <c r="K19" s="80">
        <f>SUMIFS('0723 4度C'!$Z:$Z,'0723 4度C'!$A:$A,"新豐8線",'0723 4度C'!$B:$B,"平均")</f>
        <v>0</v>
      </c>
      <c r="L19" s="78">
        <f>SUMIFS('0723 4度C'!$Z:$Z,'0723 4度C'!$A:$A,"新豐9線",'0723 4度C'!$B:$B,"平均")</f>
        <v>0</v>
      </c>
      <c r="M19" s="79">
        <f>SUMIFS('0723 4度C'!$Z:$Z,'0723 4度C'!$A:$A,"新豐4線",'0723 4度C'!$B:$B,"平均")</f>
        <v>0</v>
      </c>
    </row>
    <row r="20" spans="2:13" ht="17.25" customHeight="1">
      <c r="B20" s="544" t="s">
        <v>69</v>
      </c>
      <c r="C20" s="76" t="s">
        <v>2098</v>
      </c>
      <c r="D20" s="77">
        <f>SUMIFS('0723 4度C'!$AC:$AC,'0723 4度C'!$A:$A,"新豐6線",'0723 4度C'!$B:$B,"平均")</f>
        <v>2</v>
      </c>
      <c r="E20" s="78">
        <f>SUMIFS('0723 4度C'!$AC:$AC,'0723 4度C'!$A:$A,"新豐2線",'0723 4度C'!$B:$B,"平均")</f>
        <v>5</v>
      </c>
      <c r="F20" s="78">
        <f>SUMIFS('0723 4度C'!$AC:$AC,'0723 4度C'!$A:$A,"新豐5線",'0723 4度C'!$B:$B,"平均")</f>
        <v>7</v>
      </c>
      <c r="G20" s="78">
        <f>SUMIFS('0723 4度C'!$AC:$AC,'0723 4度C'!$A:$A,"新豐7線",'0723 4度C'!$B:$B,"平均")</f>
        <v>6</v>
      </c>
      <c r="H20" s="78">
        <f>SUMIFS('0723 4度C'!$AC:$AC,'0723 4度C'!$A:$A,"新豐3線",'0723 4度C'!$B:$B,"平均")</f>
        <v>4</v>
      </c>
      <c r="I20" s="78">
        <f>SUMIFS('0723 4度C'!$AC:$AC,'0723 4度C'!$A:$A,"新豐1線",'0723 4度C'!$B:$B,"平均")</f>
        <v>8</v>
      </c>
      <c r="J20" s="79">
        <f>SUMIFS('0723 4度C'!$AC:$AC,'0723 4度C'!$A:$A,"新豐10線",'0723 4度C'!$B:$B,"平均")</f>
        <v>4</v>
      </c>
      <c r="K20" s="80">
        <f>SUMIFS('0723 4度C'!$AC:$AC,'0723 4度C'!$A:$A,"新豐8線",'0723 4度C'!$B:$B,"平均")</f>
        <v>7</v>
      </c>
      <c r="L20" s="78">
        <f>SUMIFS('0723 4度C'!$AC:$AC,'0723 4度C'!$A:$A,"新豐9線",'0723 4度C'!$B:$B,"平均")</f>
        <v>7</v>
      </c>
      <c r="M20" s="79">
        <f>SUMIFS('0723 4度C'!$AC:$AC,'0723 4度C'!$A:$A,"新豐4線",'0723 4度C'!$B:$B,"平均")</f>
        <v>7</v>
      </c>
    </row>
    <row r="21" spans="2:13" ht="17.25" customHeight="1">
      <c r="B21" s="545"/>
      <c r="C21" s="76" t="s">
        <v>2100</v>
      </c>
      <c r="D21" s="77">
        <f>SUMIFS('0723 4度C'!$AD:$AD,'0723 4度C'!$A:$A,"新豐6線",'0723 4度C'!$B:$B,"平均")</f>
        <v>0</v>
      </c>
      <c r="E21" s="78">
        <f>SUMIFS('0723 4度C'!$AD:$AD,'0723 4度C'!$A:$A,"新豐2線",'0723 4度C'!$B:$B,"平均")</f>
        <v>0</v>
      </c>
      <c r="F21" s="78">
        <f>SUMIFS('0723 4度C'!$AD:$AD,'0723 4度C'!$A:$A,"新豐5線",'0723 4度C'!$B:$B,"平均")</f>
        <v>0</v>
      </c>
      <c r="G21" s="78">
        <f>SUMIFS('0723 4度C'!$AD:$AD,'0723 4度C'!$A:$A,"新豐7線",'0723 4度C'!$B:$B,"平均")</f>
        <v>0</v>
      </c>
      <c r="H21" s="78">
        <f>SUMIFS('0723 4度C'!$AD:$AD,'0723 4度C'!$A:$A,"新豐3線",'0723 4度C'!$B:$B,"平均")</f>
        <v>0</v>
      </c>
      <c r="I21" s="78">
        <f>SUMIFS('0723 4度C'!$AD:$AD,'0723 4度C'!$A:$A,"新豐1線",'0723 4度C'!$B:$B,"平均")</f>
        <v>0</v>
      </c>
      <c r="J21" s="79">
        <f>SUMIFS('0723 4度C'!$AD:$AD,'0723 4度C'!$A:$A,"新豐10線",'0723 4度C'!$B:$B,"平均")</f>
        <v>0</v>
      </c>
      <c r="K21" s="80">
        <f>SUMIFS('0723 4度C'!$AD:$AD,'0723 4度C'!$A:$A,"新豐8線",'0723 4度C'!$B:$B,"平均")</f>
        <v>0</v>
      </c>
      <c r="L21" s="78">
        <f>SUMIFS('0723 4度C'!$AD:$AD,'0723 4度C'!$A:$A,"新豐9線",'0723 4度C'!$B:$B,"平均")</f>
        <v>0</v>
      </c>
      <c r="M21" s="79">
        <f>SUMIFS('0723 4度C'!$AD:$AD,'0723 4度C'!$A:$A,"新豐4線",'0723 4度C'!$B:$B,"平均")</f>
        <v>0</v>
      </c>
    </row>
    <row r="22" spans="2:13" ht="17.25" customHeight="1">
      <c r="B22" s="546" t="s">
        <v>118</v>
      </c>
      <c r="C22" s="547"/>
      <c r="D22" s="81">
        <f>SUMIFS('0723 4度C'!$I:$I,'0723 4度C'!$A:$A,"新豐6線",'0723 4度C'!$B:$B,"平均")</f>
        <v>15.5</v>
      </c>
      <c r="E22" s="82">
        <f>SUMIFS('0723 4度C'!$I:$I,'0723 4度C'!$A:$A,"新豐2線",'0723 4度C'!$B:$B,"平均")</f>
        <v>17.399999999999999</v>
      </c>
      <c r="F22" s="82">
        <f>SUMIFS('0723 4度C'!$I:$I,'0723 4度C'!$A:$A,"新豐5線",'0723 4度C'!$B:$B,"平均")</f>
        <v>18.428571428571427</v>
      </c>
      <c r="G22" s="82">
        <f>SUMIFS('0723 4度C'!$I:$I,'0723 4度C'!$A:$A,"新豐7線",'0723 4度C'!$B:$B,"平均")</f>
        <v>15.666666666666666</v>
      </c>
      <c r="H22" s="82">
        <f>SUMIFS('0723 4度C'!$I:$I,'0723 4度C'!$A:$A,"新豐3線",'0723 4度C'!$B:$B,"平均")</f>
        <v>9.75</v>
      </c>
      <c r="I22" s="82">
        <f>SUMIFS('0723 4度C'!$I:$I,'0723 4度C'!$A:$A,"新豐1線",'0723 4度C'!$B:$B,"平均")</f>
        <v>17.5</v>
      </c>
      <c r="J22" s="83">
        <f>SUMIFS('0723 4度C'!$I:$I,'0723 4度C'!$A:$A,"新豐10線",'0723 4度C'!$B:$B,"平均")</f>
        <v>9.75</v>
      </c>
      <c r="K22" s="81">
        <f>SUMIFS('0723 4度C'!$I:$I,'0723 4度C'!$A:$A,"新豐8線",'0723 4度C'!$B:$B,"平均")</f>
        <v>17.428571428571427</v>
      </c>
      <c r="L22" s="82">
        <f>SUMIFS('0723 4度C'!$I:$I,'0723 4度C'!$A:$A,"新豐9線",'0723 4度C'!$B:$B,"平均")</f>
        <v>17.142857142857142</v>
      </c>
      <c r="M22" s="83">
        <f>SUMIFS('0723 4度C'!$I:$I,'0723 4度C'!$A:$A,"新豐4線",'0723 4度C'!$B:$B,"平均")</f>
        <v>16.714285714285715</v>
      </c>
    </row>
    <row r="23" spans="2:13" ht="17.25" customHeight="1">
      <c r="B23" s="546" t="s">
        <v>119</v>
      </c>
      <c r="C23" s="547"/>
      <c r="D23" s="84" t="s">
        <v>54</v>
      </c>
      <c r="E23" s="85" t="s">
        <v>55</v>
      </c>
      <c r="F23" s="85" t="s">
        <v>228</v>
      </c>
      <c r="G23" s="85" t="s">
        <v>228</v>
      </c>
      <c r="H23" s="85" t="s">
        <v>56</v>
      </c>
      <c r="I23" s="85" t="s">
        <v>54</v>
      </c>
      <c r="J23" s="86" t="s">
        <v>56</v>
      </c>
      <c r="K23" s="84" t="s">
        <v>2101</v>
      </c>
      <c r="L23" s="85" t="s">
        <v>2101</v>
      </c>
      <c r="M23" s="86" t="s">
        <v>229</v>
      </c>
    </row>
    <row r="24" spans="2:13" ht="17.25" customHeight="1">
      <c r="B24" s="546" t="s">
        <v>2102</v>
      </c>
      <c r="C24" s="547"/>
      <c r="D24" s="84"/>
      <c r="E24" s="85"/>
      <c r="F24" s="85" t="s">
        <v>2103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2104</v>
      </c>
      <c r="C25" s="549"/>
      <c r="D25" s="87"/>
      <c r="E25" s="88" t="s">
        <v>2105</v>
      </c>
      <c r="F25" s="542" t="s">
        <v>2106</v>
      </c>
      <c r="G25" s="543"/>
      <c r="H25" s="88" t="s">
        <v>2107</v>
      </c>
      <c r="I25" s="88" t="s">
        <v>2108</v>
      </c>
      <c r="J25" s="89" t="s">
        <v>2107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7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F3" sqref="F3:G3"/>
      <selection pane="bottomLeft" activeCell="F3" sqref="F3:G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677</v>
      </c>
      <c r="D1" s="3">
        <f>SUM(F5:F71)</f>
        <v>167683</v>
      </c>
      <c r="E1" s="408" t="s">
        <v>241</v>
      </c>
      <c r="F1" s="1">
        <f>SUM(G5:G71)</f>
        <v>5716704.6499999994</v>
      </c>
      <c r="G1" s="1" t="s">
        <v>679</v>
      </c>
      <c r="H1" s="4">
        <f>L7+L13+L49+L58+L21+L63+L36+L44+L28+L71</f>
        <v>155.28095238095239</v>
      </c>
      <c r="I1" s="654" t="s">
        <v>998</v>
      </c>
      <c r="J1" s="654"/>
      <c r="K1" s="654"/>
      <c r="L1" s="654" t="s">
        <v>681</v>
      </c>
      <c r="M1" s="654"/>
      <c r="N1" s="654"/>
      <c r="O1" s="654" t="s">
        <v>243</v>
      </c>
      <c r="P1" s="654"/>
      <c r="Q1" s="654"/>
      <c r="R1" s="654"/>
      <c r="S1" s="654" t="s">
        <v>244</v>
      </c>
      <c r="T1" s="654"/>
      <c r="U1" s="654"/>
      <c r="V1" s="654"/>
      <c r="W1" s="654"/>
      <c r="X1" s="654"/>
      <c r="Y1" s="5" t="s">
        <v>524</v>
      </c>
      <c r="Z1" s="6" t="s">
        <v>246</v>
      </c>
      <c r="AA1" s="655" t="s">
        <v>343</v>
      </c>
      <c r="AB1" s="655"/>
      <c r="AC1" s="134" t="s">
        <v>524</v>
      </c>
      <c r="AD1" s="6" t="s">
        <v>344</v>
      </c>
      <c r="AE1" s="654" t="s">
        <v>249</v>
      </c>
      <c r="AF1" s="656"/>
      <c r="AG1" s="656"/>
    </row>
    <row r="2" spans="1:33" ht="26.25" customHeight="1">
      <c r="A2" s="25">
        <v>46226</v>
      </c>
      <c r="B2" s="26" t="s">
        <v>250</v>
      </c>
      <c r="C2" s="2" t="s">
        <v>107</v>
      </c>
      <c r="D2" s="8">
        <f>AVERAGE(N7,N13,N49,N58,N21,N63,N28,N36,N44,N71)</f>
        <v>150.88609122896932</v>
      </c>
      <c r="E2" s="9" t="s">
        <v>0</v>
      </c>
      <c r="F2" s="10">
        <f>F1/D1</f>
        <v>34.092332854254749</v>
      </c>
      <c r="G2" s="1" t="s">
        <v>347</v>
      </c>
      <c r="H2" s="406">
        <f>COUNT(H5:H71)</f>
        <v>7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SUM(Y7+Y13+Y21+Y28+Y36+Y44+Y49+Y58+Y63+Y71)</f>
        <v>0</v>
      </c>
      <c r="Z2" s="11">
        <f>SUM(Z7+Z13+Z21+Z28+Z36+Z44+Z49+Z58+Z63+Z71)</f>
        <v>0</v>
      </c>
      <c r="AA2" s="655"/>
      <c r="AB2" s="655"/>
      <c r="AC2" s="135">
        <v>57</v>
      </c>
      <c r="AD2" s="11">
        <f>SUM(AD7+AD13+AD21+AD28+AD36+AD44+AD49+AD58+AD63+AD71)</f>
        <v>0</v>
      </c>
      <c r="AE2" s="656"/>
      <c r="AF2" s="656"/>
      <c r="AG2" s="656"/>
    </row>
    <row r="3" spans="1:33" ht="40.5" customHeight="1">
      <c r="A3" s="612" t="s">
        <v>2109</v>
      </c>
      <c r="B3" s="612" t="s">
        <v>532</v>
      </c>
      <c r="C3" s="612" t="s">
        <v>2110</v>
      </c>
      <c r="D3" s="612"/>
      <c r="E3" s="652" t="s">
        <v>534</v>
      </c>
      <c r="F3" s="612" t="s">
        <v>1101</v>
      </c>
      <c r="G3" s="652" t="s">
        <v>256</v>
      </c>
      <c r="H3" s="645" t="s">
        <v>257</v>
      </c>
      <c r="I3" s="644" t="s">
        <v>2111</v>
      </c>
      <c r="J3" s="641" t="s">
        <v>2112</v>
      </c>
      <c r="K3" s="650" t="s">
        <v>2113</v>
      </c>
      <c r="L3" s="644" t="s">
        <v>2111</v>
      </c>
      <c r="M3" s="641" t="s">
        <v>264</v>
      </c>
      <c r="N3" s="650" t="s">
        <v>2114</v>
      </c>
      <c r="O3" s="644" t="s">
        <v>78</v>
      </c>
      <c r="P3" s="650" t="s">
        <v>2115</v>
      </c>
      <c r="Q3" s="642" t="s">
        <v>258</v>
      </c>
      <c r="R3" s="621" t="s">
        <v>2116</v>
      </c>
      <c r="S3" s="651" t="s">
        <v>1</v>
      </c>
      <c r="T3" s="651"/>
      <c r="U3" s="645" t="s">
        <v>2</v>
      </c>
      <c r="V3" s="645" t="s">
        <v>2117</v>
      </c>
      <c r="W3" s="612" t="s">
        <v>260</v>
      </c>
      <c r="X3" s="612"/>
      <c r="Y3" s="646" t="s">
        <v>261</v>
      </c>
      <c r="Z3" s="611"/>
      <c r="AA3" s="647" t="s">
        <v>2118</v>
      </c>
      <c r="AB3" s="648"/>
      <c r="AC3" s="646" t="s">
        <v>2119</v>
      </c>
      <c r="AD3" s="611"/>
      <c r="AE3" s="641" t="s">
        <v>2120</v>
      </c>
      <c r="AF3" s="642" t="s">
        <v>258</v>
      </c>
      <c r="AG3" s="621" t="s">
        <v>2121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10" t="s">
        <v>3</v>
      </c>
      <c r="T4" s="410" t="s">
        <v>4</v>
      </c>
      <c r="U4" s="645"/>
      <c r="V4" s="645"/>
      <c r="W4" s="408" t="s">
        <v>2122</v>
      </c>
      <c r="X4" s="408" t="s">
        <v>2123</v>
      </c>
      <c r="Y4" s="409" t="s">
        <v>2098</v>
      </c>
      <c r="Z4" s="409" t="s">
        <v>115</v>
      </c>
      <c r="AA4" s="649"/>
      <c r="AB4" s="648"/>
      <c r="AC4" s="409" t="s">
        <v>2124</v>
      </c>
      <c r="AD4" s="409" t="s">
        <v>272</v>
      </c>
      <c r="AE4" s="641"/>
      <c r="AF4" s="642"/>
      <c r="AG4" s="621"/>
    </row>
    <row r="5" spans="1:33">
      <c r="A5" s="643" t="s">
        <v>2125</v>
      </c>
      <c r="B5" s="27" t="s">
        <v>5</v>
      </c>
      <c r="C5" s="657" t="s">
        <v>14</v>
      </c>
      <c r="D5" s="657"/>
      <c r="E5" s="27">
        <v>50.92</v>
      </c>
      <c r="F5" s="410">
        <v>2159</v>
      </c>
      <c r="G5" s="408">
        <f t="shared" ref="G5:G6" si="0">E5*F5</f>
        <v>109936.28</v>
      </c>
      <c r="H5" s="31" t="s">
        <v>40</v>
      </c>
      <c r="I5" s="407">
        <v>15</v>
      </c>
      <c r="J5" s="29">
        <v>2000</v>
      </c>
      <c r="K5" s="12">
        <f t="shared" ref="K5:K68" si="1">J5/I5</f>
        <v>133.33333333333334</v>
      </c>
      <c r="L5" s="407">
        <v>15</v>
      </c>
      <c r="M5" s="13">
        <f t="shared" ref="M5:M6" si="2">F5/V5*60</f>
        <v>1905.0000000000023</v>
      </c>
      <c r="N5" s="12">
        <f t="shared" ref="N5:N68" si="3">M5/L5</f>
        <v>127.00000000000016</v>
      </c>
      <c r="O5" s="14">
        <f t="shared" ref="O5:O68" si="4">L5-I5</f>
        <v>0</v>
      </c>
      <c r="P5" s="15">
        <f t="shared" ref="P5:P68" si="5">N5-K5</f>
        <v>-6.3333333333331865</v>
      </c>
      <c r="Q5" s="413">
        <f t="shared" ref="Q5:Q68" si="6">N5/K5</f>
        <v>0.95250000000000112</v>
      </c>
      <c r="R5" s="616">
        <f>Q7</f>
        <v>0.95929347826087064</v>
      </c>
      <c r="S5" s="32">
        <v>0.70833333333333337</v>
      </c>
      <c r="T5" s="32">
        <v>0.75555555555555554</v>
      </c>
      <c r="U5" s="408"/>
      <c r="V5" s="411">
        <f t="shared" ref="V5:V6" si="7">(T5-S5)*24*60</f>
        <v>67.999999999999915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7" si="8">M5-J5</f>
        <v>-94.999999999997726</v>
      </c>
      <c r="AF5" s="413">
        <f t="shared" ref="AF5:AF68" si="9">M5/J5</f>
        <v>0.95250000000000112</v>
      </c>
      <c r="AG5" s="616">
        <f>AF7</f>
        <v>0.95929347826087064</v>
      </c>
    </row>
    <row r="6" spans="1:33">
      <c r="A6" s="644" t="s">
        <v>2126</v>
      </c>
      <c r="B6" s="27" t="s">
        <v>5</v>
      </c>
      <c r="C6" s="657" t="s">
        <v>19</v>
      </c>
      <c r="D6" s="657"/>
      <c r="E6" s="27">
        <v>50.98</v>
      </c>
      <c r="F6" s="410">
        <v>2222</v>
      </c>
      <c r="G6" s="408">
        <f t="shared" si="0"/>
        <v>113277.56</v>
      </c>
      <c r="H6" s="31" t="s">
        <v>40</v>
      </c>
      <c r="I6" s="407">
        <v>16</v>
      </c>
      <c r="J6" s="29">
        <v>2000</v>
      </c>
      <c r="K6" s="12">
        <f t="shared" si="1"/>
        <v>125</v>
      </c>
      <c r="L6" s="407">
        <v>16</v>
      </c>
      <c r="M6" s="13">
        <f t="shared" si="2"/>
        <v>1932.1739130434805</v>
      </c>
      <c r="N6" s="12">
        <f t="shared" si="3"/>
        <v>120.76086956521753</v>
      </c>
      <c r="O6" s="14">
        <f t="shared" si="4"/>
        <v>0</v>
      </c>
      <c r="P6" s="15">
        <f t="shared" si="5"/>
        <v>-4.2391304347824672</v>
      </c>
      <c r="Q6" s="413">
        <f t="shared" si="6"/>
        <v>0.96608695652174026</v>
      </c>
      <c r="R6" s="616"/>
      <c r="S6" s="32">
        <v>0.75972222222222219</v>
      </c>
      <c r="T6" s="32">
        <v>0.8076388888888888</v>
      </c>
      <c r="U6" s="408">
        <f t="shared" ref="U6" si="10">IF(S6=TIME(17,0,0),"",(S6-T5)*24*60)</f>
        <v>5.9999999999999787</v>
      </c>
      <c r="V6" s="411">
        <f t="shared" si="7"/>
        <v>68.999999999999915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-67.826086956519475</v>
      </c>
      <c r="AF6" s="413">
        <f t="shared" si="9"/>
        <v>0.96608695652174026</v>
      </c>
      <c r="AG6" s="616"/>
    </row>
    <row r="7" spans="1:33">
      <c r="A7" s="644" t="s">
        <v>2126</v>
      </c>
      <c r="B7" s="27" t="s">
        <v>70</v>
      </c>
      <c r="C7" s="658"/>
      <c r="D7" s="658"/>
      <c r="E7" s="412"/>
      <c r="F7" s="28"/>
      <c r="G7" s="12"/>
      <c r="H7" s="410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1918.5869565217413</v>
      </c>
      <c r="N7" s="12">
        <f t="shared" si="3"/>
        <v>123.77980364656395</v>
      </c>
      <c r="O7" s="14">
        <f t="shared" si="4"/>
        <v>0</v>
      </c>
      <c r="P7" s="15">
        <f t="shared" si="5"/>
        <v>-5.2524544179521797</v>
      </c>
      <c r="Q7" s="413">
        <f t="shared" si="6"/>
        <v>0.95929347826087064</v>
      </c>
      <c r="R7" s="616"/>
      <c r="S7" s="32"/>
      <c r="T7" s="32"/>
      <c r="U7" s="408"/>
      <c r="V7" s="411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-81.413043478258714</v>
      </c>
      <c r="AF7" s="413">
        <f t="shared" si="9"/>
        <v>0.95929347826087064</v>
      </c>
      <c r="AG7" s="616"/>
    </row>
    <row r="8" spans="1:33" ht="15.75" customHeight="1">
      <c r="A8" s="640" t="s">
        <v>276</v>
      </c>
      <c r="B8" s="27" t="s">
        <v>8</v>
      </c>
      <c r="C8" s="638" t="s">
        <v>10</v>
      </c>
      <c r="D8" s="639"/>
      <c r="E8" s="27">
        <v>39.799999999999997</v>
      </c>
      <c r="F8" s="410">
        <v>3300</v>
      </c>
      <c r="G8" s="408">
        <f t="shared" ref="G8:G12" si="11">E8*F8</f>
        <v>131340</v>
      </c>
      <c r="H8" s="31">
        <v>2</v>
      </c>
      <c r="I8" s="407">
        <v>17</v>
      </c>
      <c r="J8" s="29">
        <v>1500</v>
      </c>
      <c r="K8" s="12">
        <f t="shared" si="1"/>
        <v>88.235294117647058</v>
      </c>
      <c r="L8" s="407">
        <v>17</v>
      </c>
      <c r="M8" s="13">
        <f t="shared" ref="M8:M12" si="12">F8/V8*60</f>
        <v>1434.7826086956525</v>
      </c>
      <c r="N8" s="12">
        <f t="shared" si="3"/>
        <v>84.39897698209721</v>
      </c>
      <c r="O8" s="14">
        <f t="shared" si="4"/>
        <v>0</v>
      </c>
      <c r="P8" s="15">
        <f t="shared" si="5"/>
        <v>-3.836317135549848</v>
      </c>
      <c r="Q8" s="413">
        <f t="shared" si="6"/>
        <v>0.95652173913043503</v>
      </c>
      <c r="R8" s="616">
        <f>Q13</f>
        <v>0.95680279117007705</v>
      </c>
      <c r="S8" s="32">
        <v>8.3333333333333329E-2</v>
      </c>
      <c r="T8" s="32">
        <v>0.17916666666666664</v>
      </c>
      <c r="U8" s="408"/>
      <c r="V8" s="411">
        <f t="shared" ref="V8:V12" si="13">(T8-S8)*24*60</f>
        <v>137.99999999999997</v>
      </c>
      <c r="W8" s="16">
        <f>T8</f>
        <v>0.17916666666666664</v>
      </c>
      <c r="X8" s="16">
        <f>S9</f>
        <v>0.20069444444444443</v>
      </c>
      <c r="Y8" s="16"/>
      <c r="Z8" s="16"/>
      <c r="AA8" s="612"/>
      <c r="AB8" s="612"/>
      <c r="AC8" s="136">
        <v>5</v>
      </c>
      <c r="AD8" s="18"/>
      <c r="AE8" s="14">
        <f t="shared" si="8"/>
        <v>-65.21739130434753</v>
      </c>
      <c r="AF8" s="413">
        <f t="shared" si="9"/>
        <v>0.95652173913043503</v>
      </c>
      <c r="AG8" s="616">
        <f>AF13</f>
        <v>0.95680279117007694</v>
      </c>
    </row>
    <row r="9" spans="1:33" ht="15.75" customHeight="1">
      <c r="A9" s="640" t="s">
        <v>276</v>
      </c>
      <c r="B9" s="27" t="s">
        <v>8</v>
      </c>
      <c r="C9" s="638" t="s">
        <v>63</v>
      </c>
      <c r="D9" s="639"/>
      <c r="E9" s="27">
        <v>39.46</v>
      </c>
      <c r="F9" s="410">
        <v>3086</v>
      </c>
      <c r="G9" s="408">
        <f t="shared" si="11"/>
        <v>121773.56</v>
      </c>
      <c r="H9" s="31" t="s">
        <v>40</v>
      </c>
      <c r="I9" s="407">
        <v>15</v>
      </c>
      <c r="J9" s="29">
        <v>1500</v>
      </c>
      <c r="K9" s="12">
        <f t="shared" si="1"/>
        <v>100</v>
      </c>
      <c r="L9" s="407">
        <v>15</v>
      </c>
      <c r="M9" s="13">
        <f t="shared" si="12"/>
        <v>1435.3488372093027</v>
      </c>
      <c r="N9" s="12">
        <f t="shared" si="3"/>
        <v>95.689922480620183</v>
      </c>
      <c r="O9" s="14">
        <f t="shared" si="4"/>
        <v>0</v>
      </c>
      <c r="P9" s="15">
        <f t="shared" si="5"/>
        <v>-4.3100775193798171</v>
      </c>
      <c r="Q9" s="413">
        <f t="shared" si="6"/>
        <v>0.95689922480620182</v>
      </c>
      <c r="R9" s="616"/>
      <c r="S9" s="32">
        <v>0.20069444444444443</v>
      </c>
      <c r="T9" s="32">
        <v>0.29027777777777775</v>
      </c>
      <c r="U9" s="408">
        <f t="shared" ref="U9:U12" si="14">IF(S9=TIME(17,0,0),"",(S9-T8)*24*60)</f>
        <v>31.000000000000011</v>
      </c>
      <c r="V9" s="411">
        <f t="shared" si="13"/>
        <v>128.99999999999997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-64.651162790697299</v>
      </c>
      <c r="AF9" s="413">
        <f t="shared" si="9"/>
        <v>0.95689922480620182</v>
      </c>
      <c r="AG9" s="616"/>
    </row>
    <row r="10" spans="1:33" ht="15.75" customHeight="1">
      <c r="A10" s="640" t="s">
        <v>276</v>
      </c>
      <c r="B10" s="27" t="s">
        <v>8</v>
      </c>
      <c r="C10" s="638" t="s">
        <v>74</v>
      </c>
      <c r="D10" s="639"/>
      <c r="E10" s="27">
        <v>39.520000000000003</v>
      </c>
      <c r="F10" s="410">
        <v>2538</v>
      </c>
      <c r="G10" s="408">
        <f t="shared" si="11"/>
        <v>100301.76000000001</v>
      </c>
      <c r="H10" s="31" t="s">
        <v>40</v>
      </c>
      <c r="I10" s="407">
        <v>19</v>
      </c>
      <c r="J10" s="29">
        <v>1500</v>
      </c>
      <c r="K10" s="12">
        <f t="shared" si="1"/>
        <v>78.94736842105263</v>
      </c>
      <c r="L10" s="407">
        <v>19</v>
      </c>
      <c r="M10" s="13">
        <f t="shared" si="12"/>
        <v>1436.6037735849054</v>
      </c>
      <c r="N10" s="12">
        <f t="shared" si="3"/>
        <v>75.610724925521339</v>
      </c>
      <c r="O10" s="14">
        <f t="shared" si="4"/>
        <v>0</v>
      </c>
      <c r="P10" s="15">
        <f t="shared" si="5"/>
        <v>-3.3366434955312911</v>
      </c>
      <c r="Q10" s="413">
        <f t="shared" si="6"/>
        <v>0.95773584905660369</v>
      </c>
      <c r="R10" s="616"/>
      <c r="S10" s="32">
        <v>0.29374999999999996</v>
      </c>
      <c r="T10" s="32">
        <v>0.36736111111111108</v>
      </c>
      <c r="U10" s="408">
        <f t="shared" si="14"/>
        <v>4.9999999999999822</v>
      </c>
      <c r="V10" s="411">
        <f t="shared" si="13"/>
        <v>106.00000000000003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-63.396226415094588</v>
      </c>
      <c r="AF10" s="413">
        <f t="shared" si="9"/>
        <v>0.95773584905660358</v>
      </c>
      <c r="AG10" s="616"/>
    </row>
    <row r="11" spans="1:33" ht="15.75" customHeight="1">
      <c r="A11" s="640" t="s">
        <v>2127</v>
      </c>
      <c r="B11" s="27" t="s">
        <v>8</v>
      </c>
      <c r="C11" s="638" t="s">
        <v>9</v>
      </c>
      <c r="D11" s="639"/>
      <c r="E11" s="27">
        <v>39.619999999999997</v>
      </c>
      <c r="F11" s="410">
        <v>4293</v>
      </c>
      <c r="G11" s="408">
        <f t="shared" si="11"/>
        <v>170088.66</v>
      </c>
      <c r="H11" s="31" t="s">
        <v>40</v>
      </c>
      <c r="I11" s="407">
        <v>19</v>
      </c>
      <c r="J11" s="29">
        <v>1500</v>
      </c>
      <c r="K11" s="12">
        <f t="shared" si="1"/>
        <v>78.94736842105263</v>
      </c>
      <c r="L11" s="407">
        <v>19</v>
      </c>
      <c r="M11" s="13">
        <f t="shared" si="12"/>
        <v>1431</v>
      </c>
      <c r="N11" s="12">
        <f t="shared" si="3"/>
        <v>75.315789473684205</v>
      </c>
      <c r="O11" s="14">
        <f t="shared" si="4"/>
        <v>0</v>
      </c>
      <c r="P11" s="15">
        <f t="shared" si="5"/>
        <v>-3.6315789473684248</v>
      </c>
      <c r="Q11" s="413">
        <f t="shared" si="6"/>
        <v>0.95399999999999996</v>
      </c>
      <c r="R11" s="616"/>
      <c r="S11" s="32">
        <v>0.37222222222222218</v>
      </c>
      <c r="T11" s="32">
        <v>0.49722222222222218</v>
      </c>
      <c r="U11" s="408">
        <f t="shared" si="14"/>
        <v>6.9999999999999751</v>
      </c>
      <c r="V11" s="411">
        <f t="shared" si="13"/>
        <v>180</v>
      </c>
      <c r="W11" s="16">
        <f>T11</f>
        <v>0.49722222222222218</v>
      </c>
      <c r="X11" s="16">
        <f>S12</f>
        <v>0.53749999999999998</v>
      </c>
      <c r="Y11" s="16"/>
      <c r="Z11" s="16"/>
      <c r="AA11" s="607"/>
      <c r="AB11" s="608"/>
      <c r="AC11" s="136"/>
      <c r="AD11" s="18"/>
      <c r="AE11" s="14">
        <f t="shared" si="8"/>
        <v>-69</v>
      </c>
      <c r="AF11" s="413">
        <f t="shared" si="9"/>
        <v>0.95399999999999996</v>
      </c>
      <c r="AG11" s="616"/>
    </row>
    <row r="12" spans="1:33" ht="15.75" customHeight="1">
      <c r="A12" s="640" t="s">
        <v>2127</v>
      </c>
      <c r="B12" s="27" t="s">
        <v>8</v>
      </c>
      <c r="C12" s="638" t="s">
        <v>10</v>
      </c>
      <c r="D12" s="639"/>
      <c r="E12" s="27">
        <v>39.799999999999997</v>
      </c>
      <c r="F12" s="410">
        <v>2517</v>
      </c>
      <c r="G12" s="408">
        <f t="shared" si="11"/>
        <v>100176.59999999999</v>
      </c>
      <c r="H12" s="31" t="s">
        <v>40</v>
      </c>
      <c r="I12" s="407">
        <v>17</v>
      </c>
      <c r="J12" s="29">
        <v>1500</v>
      </c>
      <c r="K12" s="12">
        <f t="shared" si="1"/>
        <v>88.235294117647058</v>
      </c>
      <c r="L12" s="407">
        <v>17</v>
      </c>
      <c r="M12" s="13">
        <f t="shared" si="12"/>
        <v>1438.2857142857151</v>
      </c>
      <c r="N12" s="12">
        <f t="shared" si="3"/>
        <v>84.605042016806777</v>
      </c>
      <c r="O12" s="14">
        <f t="shared" si="4"/>
        <v>0</v>
      </c>
      <c r="P12" s="15">
        <f t="shared" si="5"/>
        <v>-3.6302521008402806</v>
      </c>
      <c r="Q12" s="413">
        <f t="shared" si="6"/>
        <v>0.95885714285714352</v>
      </c>
      <c r="R12" s="616"/>
      <c r="S12" s="32">
        <v>0.53749999999999998</v>
      </c>
      <c r="T12" s="32">
        <v>0.61041666666666661</v>
      </c>
      <c r="U12" s="408">
        <f t="shared" si="14"/>
        <v>58.000000000000036</v>
      </c>
      <c r="V12" s="411">
        <f t="shared" si="13"/>
        <v>104.99999999999994</v>
      </c>
      <c r="W12" s="16"/>
      <c r="X12" s="16"/>
      <c r="Y12" s="19"/>
      <c r="Z12" s="19"/>
      <c r="AA12" s="607"/>
      <c r="AB12" s="608"/>
      <c r="AC12" s="136"/>
      <c r="AD12" s="18"/>
      <c r="AE12" s="14">
        <f t="shared" si="8"/>
        <v>-61.71428571428487</v>
      </c>
      <c r="AF12" s="413">
        <f t="shared" si="9"/>
        <v>0.95885714285714341</v>
      </c>
      <c r="AG12" s="616"/>
    </row>
    <row r="13" spans="1:33" ht="16.5" customHeight="1">
      <c r="A13" s="640" t="s">
        <v>276</v>
      </c>
      <c r="B13" s="27" t="s">
        <v>70</v>
      </c>
      <c r="C13" s="658"/>
      <c r="D13" s="658"/>
      <c r="E13" s="412"/>
      <c r="F13" s="29"/>
      <c r="G13" s="13"/>
      <c r="H13" s="410"/>
      <c r="I13" s="21">
        <v>17.399999999999999</v>
      </c>
      <c r="J13" s="29">
        <v>1500</v>
      </c>
      <c r="K13" s="12">
        <f t="shared" si="1"/>
        <v>86.206896551724142</v>
      </c>
      <c r="L13" s="21">
        <v>17.399999999999999</v>
      </c>
      <c r="M13" s="13">
        <f>AVERAGE(M8:M12)</f>
        <v>1435.2041867551154</v>
      </c>
      <c r="N13" s="12">
        <f t="shared" si="3"/>
        <v>82.482999238799749</v>
      </c>
      <c r="O13" s="14">
        <f t="shared" si="4"/>
        <v>0</v>
      </c>
      <c r="P13" s="15">
        <f t="shared" si="5"/>
        <v>-3.7238973129243931</v>
      </c>
      <c r="Q13" s="413">
        <f t="shared" si="6"/>
        <v>0.95680279117007705</v>
      </c>
      <c r="R13" s="616"/>
      <c r="S13" s="32"/>
      <c r="T13" s="32"/>
      <c r="U13" s="12"/>
      <c r="V13" s="411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-64.795813244884584</v>
      </c>
      <c r="AF13" s="413">
        <f t="shared" si="9"/>
        <v>0.95680279117007694</v>
      </c>
      <c r="AG13" s="616"/>
    </row>
    <row r="14" spans="1:33" ht="16.5" customHeight="1">
      <c r="A14" s="636" t="s">
        <v>2128</v>
      </c>
      <c r="B14" s="410" t="s">
        <v>1134</v>
      </c>
      <c r="C14" s="659" t="s">
        <v>1035</v>
      </c>
      <c r="D14" s="659"/>
      <c r="E14" s="27">
        <v>31.11</v>
      </c>
      <c r="F14" s="410">
        <v>3103</v>
      </c>
      <c r="G14" s="408">
        <f t="shared" ref="G14:G20" si="15">E14*F14</f>
        <v>96534.33</v>
      </c>
      <c r="H14" s="31" t="s">
        <v>40</v>
      </c>
      <c r="I14" s="407">
        <v>14</v>
      </c>
      <c r="J14" s="29">
        <v>2000</v>
      </c>
      <c r="K14" s="12">
        <f t="shared" si="1"/>
        <v>142.85714285714286</v>
      </c>
      <c r="L14" s="407">
        <v>14</v>
      </c>
      <c r="M14" s="13">
        <f t="shared" ref="M14:M20" si="16">F14/V14*60</f>
        <v>1919.3814432989691</v>
      </c>
      <c r="N14" s="12">
        <f t="shared" si="3"/>
        <v>137.09867452135492</v>
      </c>
      <c r="O14" s="14">
        <f t="shared" si="4"/>
        <v>0</v>
      </c>
      <c r="P14" s="15">
        <f t="shared" si="5"/>
        <v>-5.7584683357879385</v>
      </c>
      <c r="Q14" s="413">
        <f t="shared" si="6"/>
        <v>0.95969072164948444</v>
      </c>
      <c r="R14" s="616">
        <f>Q21</f>
        <v>0.95741593179531459</v>
      </c>
      <c r="S14" s="32">
        <v>8.3333333333333329E-2</v>
      </c>
      <c r="T14" s="32">
        <v>0.15069444444444444</v>
      </c>
      <c r="U14" s="408"/>
      <c r="V14" s="411">
        <f t="shared" ref="V14:V20" si="17">(T14-S14)*24*60</f>
        <v>97</v>
      </c>
      <c r="W14" s="16">
        <f>T14</f>
        <v>0.15069444444444444</v>
      </c>
      <c r="X14" s="16">
        <f>S15</f>
        <v>0.17083333333333334</v>
      </c>
      <c r="Y14" s="20"/>
      <c r="Z14" s="20"/>
      <c r="AA14" s="612"/>
      <c r="AB14" s="612"/>
      <c r="AC14" s="136">
        <v>7</v>
      </c>
      <c r="AD14" s="18"/>
      <c r="AE14" s="14">
        <f t="shared" si="8"/>
        <v>-80.618556701030911</v>
      </c>
      <c r="AF14" s="413">
        <f t="shared" si="9"/>
        <v>0.95969072164948455</v>
      </c>
      <c r="AG14" s="616">
        <f>AF21</f>
        <v>0.9574159317953147</v>
      </c>
    </row>
    <row r="15" spans="1:33" ht="16.5" customHeight="1">
      <c r="A15" s="637" t="s">
        <v>278</v>
      </c>
      <c r="B15" s="410" t="s">
        <v>11</v>
      </c>
      <c r="C15" s="659" t="s">
        <v>67</v>
      </c>
      <c r="D15" s="659"/>
      <c r="E15" s="27">
        <v>38.619999999999997</v>
      </c>
      <c r="F15" s="410">
        <v>2219</v>
      </c>
      <c r="G15" s="408">
        <f t="shared" si="15"/>
        <v>85697.78</v>
      </c>
      <c r="H15" s="31" t="s">
        <v>40</v>
      </c>
      <c r="I15" s="407">
        <v>24</v>
      </c>
      <c r="J15" s="29">
        <v>1500</v>
      </c>
      <c r="K15" s="12">
        <f t="shared" si="1"/>
        <v>62.5</v>
      </c>
      <c r="L15" s="407">
        <v>24</v>
      </c>
      <c r="M15" s="13">
        <f t="shared" si="16"/>
        <v>1431.6129032258066</v>
      </c>
      <c r="N15" s="12">
        <f t="shared" si="3"/>
        <v>59.650537634408607</v>
      </c>
      <c r="O15" s="14">
        <f t="shared" si="4"/>
        <v>0</v>
      </c>
      <c r="P15" s="15">
        <f t="shared" si="5"/>
        <v>-2.8494623655913927</v>
      </c>
      <c r="Q15" s="413">
        <f t="shared" si="6"/>
        <v>0.95440860215053769</v>
      </c>
      <c r="R15" s="616"/>
      <c r="S15" s="32">
        <v>0.17083333333333334</v>
      </c>
      <c r="T15" s="32">
        <v>0.23541666666666666</v>
      </c>
      <c r="U15" s="408">
        <f t="shared" ref="U15:U20" si="18">IF(S15=TIME(17,0,0),"",(S15-T14)*24*60)</f>
        <v>29.000000000000018</v>
      </c>
      <c r="V15" s="411">
        <f t="shared" si="17"/>
        <v>92.999999999999986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-68.387096774193424</v>
      </c>
      <c r="AF15" s="413">
        <f t="shared" si="9"/>
        <v>0.95440860215053769</v>
      </c>
      <c r="AG15" s="616"/>
    </row>
    <row r="16" spans="1:33" ht="16.5" customHeight="1">
      <c r="A16" s="637" t="s">
        <v>278</v>
      </c>
      <c r="B16" s="410" t="s">
        <v>11</v>
      </c>
      <c r="C16" s="659" t="s">
        <v>12</v>
      </c>
      <c r="D16" s="659"/>
      <c r="E16" s="27">
        <v>41</v>
      </c>
      <c r="F16" s="410">
        <v>1960</v>
      </c>
      <c r="G16" s="408">
        <f t="shared" si="15"/>
        <v>80360</v>
      </c>
      <c r="H16" s="31" t="s">
        <v>40</v>
      </c>
      <c r="I16" s="407">
        <v>26</v>
      </c>
      <c r="J16" s="29">
        <v>1500</v>
      </c>
      <c r="K16" s="12">
        <f t="shared" si="1"/>
        <v>57.692307692307693</v>
      </c>
      <c r="L16" s="407">
        <v>26</v>
      </c>
      <c r="M16" s="13">
        <f t="shared" si="16"/>
        <v>1434.146341463415</v>
      </c>
      <c r="N16" s="12">
        <f t="shared" si="3"/>
        <v>55.159474671669805</v>
      </c>
      <c r="O16" s="14">
        <f t="shared" si="4"/>
        <v>0</v>
      </c>
      <c r="P16" s="15">
        <f t="shared" si="5"/>
        <v>-2.532833020637888</v>
      </c>
      <c r="Q16" s="413">
        <f t="shared" si="6"/>
        <v>0.95609756097560994</v>
      </c>
      <c r="R16" s="616"/>
      <c r="S16" s="32">
        <v>0.24097222222222223</v>
      </c>
      <c r="T16" s="32">
        <v>0.29791666666666666</v>
      </c>
      <c r="U16" s="408">
        <f t="shared" si="18"/>
        <v>8.0000000000000107</v>
      </c>
      <c r="V16" s="411">
        <f t="shared" si="17"/>
        <v>81.999999999999986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-65.853658536585044</v>
      </c>
      <c r="AF16" s="413">
        <f t="shared" si="9"/>
        <v>0.95609756097560994</v>
      </c>
      <c r="AG16" s="616"/>
    </row>
    <row r="17" spans="1:33" ht="16.5" customHeight="1">
      <c r="A17" s="637" t="s">
        <v>278</v>
      </c>
      <c r="B17" s="410" t="s">
        <v>5</v>
      </c>
      <c r="C17" s="659" t="s">
        <v>66</v>
      </c>
      <c r="D17" s="659"/>
      <c r="E17" s="27">
        <v>37.03</v>
      </c>
      <c r="F17" s="410">
        <v>3374</v>
      </c>
      <c r="G17" s="408">
        <f t="shared" si="15"/>
        <v>124939.22</v>
      </c>
      <c r="H17" s="31" t="s">
        <v>40</v>
      </c>
      <c r="I17" s="407">
        <v>13</v>
      </c>
      <c r="J17" s="29">
        <v>1500</v>
      </c>
      <c r="K17" s="12">
        <f t="shared" si="1"/>
        <v>115.38461538461539</v>
      </c>
      <c r="L17" s="407">
        <v>13</v>
      </c>
      <c r="M17" s="13">
        <f t="shared" si="16"/>
        <v>1435.744680851064</v>
      </c>
      <c r="N17" s="12">
        <f t="shared" si="3"/>
        <v>110.44189852700492</v>
      </c>
      <c r="O17" s="14">
        <f t="shared" si="4"/>
        <v>0</v>
      </c>
      <c r="P17" s="15">
        <f t="shared" si="5"/>
        <v>-4.9427168576104634</v>
      </c>
      <c r="Q17" s="413">
        <f t="shared" si="6"/>
        <v>0.95716312056737596</v>
      </c>
      <c r="R17" s="616"/>
      <c r="S17" s="32">
        <v>0.30277777777777776</v>
      </c>
      <c r="T17" s="32">
        <v>0.40069444444444441</v>
      </c>
      <c r="U17" s="408">
        <f t="shared" si="18"/>
        <v>6.9999999999999751</v>
      </c>
      <c r="V17" s="411">
        <f t="shared" si="17"/>
        <v>140.99999999999997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-64.255319148935996</v>
      </c>
      <c r="AF17" s="413">
        <f t="shared" si="9"/>
        <v>0.95716312056737596</v>
      </c>
      <c r="AG17" s="616"/>
    </row>
    <row r="18" spans="1:33" ht="16.5" customHeight="1">
      <c r="A18" s="637" t="s">
        <v>2128</v>
      </c>
      <c r="B18" s="410" t="s">
        <v>5</v>
      </c>
      <c r="C18" s="659" t="s">
        <v>6</v>
      </c>
      <c r="D18" s="659"/>
      <c r="E18" s="27">
        <v>50.67</v>
      </c>
      <c r="F18" s="410">
        <v>1574</v>
      </c>
      <c r="G18" s="408">
        <f t="shared" si="15"/>
        <v>79754.58</v>
      </c>
      <c r="H18" s="31" t="s">
        <v>40</v>
      </c>
      <c r="I18" s="407">
        <v>17</v>
      </c>
      <c r="J18" s="29">
        <v>2000</v>
      </c>
      <c r="K18" s="12">
        <f t="shared" si="1"/>
        <v>117.64705882352941</v>
      </c>
      <c r="L18" s="407">
        <v>17</v>
      </c>
      <c r="M18" s="13">
        <f t="shared" si="16"/>
        <v>1927.3469387755106</v>
      </c>
      <c r="N18" s="12">
        <f t="shared" si="3"/>
        <v>113.37334933973591</v>
      </c>
      <c r="O18" s="14">
        <f t="shared" si="4"/>
        <v>0</v>
      </c>
      <c r="P18" s="15">
        <f t="shared" si="5"/>
        <v>-4.2737094837934961</v>
      </c>
      <c r="Q18" s="413">
        <f t="shared" si="6"/>
        <v>0.96367346938775533</v>
      </c>
      <c r="R18" s="616"/>
      <c r="S18" s="32">
        <v>0.70833333333333337</v>
      </c>
      <c r="T18" s="32">
        <v>0.74236111111111114</v>
      </c>
      <c r="U18" s="408" t="str">
        <f t="shared" si="18"/>
        <v/>
      </c>
      <c r="V18" s="411">
        <f t="shared" si="17"/>
        <v>48.999999999999986</v>
      </c>
      <c r="W18" s="16"/>
      <c r="X18" s="16"/>
      <c r="Y18" s="16"/>
      <c r="Z18" s="16"/>
      <c r="AA18" s="612"/>
      <c r="AB18" s="612"/>
      <c r="AC18" s="136"/>
      <c r="AD18" s="18"/>
      <c r="AE18" s="14">
        <f t="shared" si="8"/>
        <v>-72.65306122448942</v>
      </c>
      <c r="AF18" s="413">
        <f t="shared" si="9"/>
        <v>0.96367346938775533</v>
      </c>
      <c r="AG18" s="616"/>
    </row>
    <row r="19" spans="1:33" ht="16.5" customHeight="1">
      <c r="A19" s="637" t="s">
        <v>278</v>
      </c>
      <c r="B19" s="410" t="s">
        <v>5</v>
      </c>
      <c r="C19" s="416" t="s">
        <v>615</v>
      </c>
      <c r="D19" s="417"/>
      <c r="E19" s="27">
        <v>54.5</v>
      </c>
      <c r="F19" s="410">
        <v>2050</v>
      </c>
      <c r="G19" s="408">
        <f t="shared" si="15"/>
        <v>111725</v>
      </c>
      <c r="H19" s="31" t="s">
        <v>40</v>
      </c>
      <c r="I19" s="407">
        <v>20</v>
      </c>
      <c r="J19" s="29">
        <v>1500</v>
      </c>
      <c r="K19" s="12">
        <f t="shared" si="1"/>
        <v>75</v>
      </c>
      <c r="L19" s="407">
        <v>20</v>
      </c>
      <c r="M19" s="13">
        <f t="shared" si="16"/>
        <v>1430.2325581395346</v>
      </c>
      <c r="N19" s="12">
        <f t="shared" si="3"/>
        <v>71.511627906976727</v>
      </c>
      <c r="O19" s="14">
        <f t="shared" si="4"/>
        <v>0</v>
      </c>
      <c r="P19" s="15">
        <f t="shared" si="5"/>
        <v>-3.4883720930232727</v>
      </c>
      <c r="Q19" s="413">
        <f t="shared" si="6"/>
        <v>0.95348837209302306</v>
      </c>
      <c r="R19" s="616"/>
      <c r="S19" s="32">
        <v>0.74583333333333335</v>
      </c>
      <c r="T19" s="32">
        <v>0.80555555555555558</v>
      </c>
      <c r="U19" s="408">
        <f t="shared" si="18"/>
        <v>4.9999999999999822</v>
      </c>
      <c r="V19" s="411">
        <f t="shared" si="17"/>
        <v>86.000000000000014</v>
      </c>
      <c r="W19" s="16"/>
      <c r="X19" s="16"/>
      <c r="Y19" s="19"/>
      <c r="Z19" s="19"/>
      <c r="AA19" s="414"/>
      <c r="AB19" s="415"/>
      <c r="AC19" s="136"/>
      <c r="AD19" s="18"/>
      <c r="AE19" s="14">
        <f t="shared" si="8"/>
        <v>-69.767441860465397</v>
      </c>
      <c r="AF19" s="413">
        <f t="shared" si="9"/>
        <v>0.95348837209302306</v>
      </c>
      <c r="AG19" s="616"/>
    </row>
    <row r="20" spans="1:33" ht="16.5" customHeight="1">
      <c r="A20" s="637" t="s">
        <v>2128</v>
      </c>
      <c r="B20" s="410" t="s">
        <v>5</v>
      </c>
      <c r="C20" s="416" t="s">
        <v>18</v>
      </c>
      <c r="D20" s="417"/>
      <c r="E20" s="27">
        <v>50.49</v>
      </c>
      <c r="F20" s="410">
        <v>1815</v>
      </c>
      <c r="G20" s="408">
        <f t="shared" si="15"/>
        <v>91639.35</v>
      </c>
      <c r="H20" s="31" t="s">
        <v>40</v>
      </c>
      <c r="I20" s="407">
        <v>15</v>
      </c>
      <c r="J20" s="29">
        <v>2000</v>
      </c>
      <c r="K20" s="12">
        <f t="shared" si="1"/>
        <v>133.33333333333334</v>
      </c>
      <c r="L20" s="407">
        <v>15</v>
      </c>
      <c r="M20" s="13">
        <f t="shared" si="16"/>
        <v>1910.5263157894751</v>
      </c>
      <c r="N20" s="12">
        <f t="shared" si="3"/>
        <v>127.36842105263167</v>
      </c>
      <c r="O20" s="14">
        <f t="shared" si="4"/>
        <v>0</v>
      </c>
      <c r="P20" s="15">
        <f t="shared" si="5"/>
        <v>-5.9649122807016681</v>
      </c>
      <c r="Q20" s="413">
        <f t="shared" si="6"/>
        <v>0.95526315789473748</v>
      </c>
      <c r="R20" s="616"/>
      <c r="S20" s="32">
        <v>0.80972222222222223</v>
      </c>
      <c r="T20" s="32">
        <v>0.84930555555555554</v>
      </c>
      <c r="U20" s="408">
        <f t="shared" si="18"/>
        <v>5.9999999999999787</v>
      </c>
      <c r="V20" s="411">
        <f t="shared" si="17"/>
        <v>56.999999999999957</v>
      </c>
      <c r="W20" s="16"/>
      <c r="X20" s="16"/>
      <c r="Y20" s="19"/>
      <c r="Z20" s="19"/>
      <c r="AA20" s="414"/>
      <c r="AB20" s="415"/>
      <c r="AC20" s="136"/>
      <c r="AD20" s="18"/>
      <c r="AE20" s="14">
        <f t="shared" si="8"/>
        <v>-89.47368421052488</v>
      </c>
      <c r="AF20" s="413">
        <f t="shared" si="9"/>
        <v>0.95526315789473759</v>
      </c>
      <c r="AG20" s="616"/>
    </row>
    <row r="21" spans="1:33" ht="16.5" customHeight="1">
      <c r="A21" s="637" t="s">
        <v>278</v>
      </c>
      <c r="B21" s="27" t="s">
        <v>70</v>
      </c>
      <c r="C21" s="658"/>
      <c r="D21" s="658"/>
      <c r="E21" s="412"/>
      <c r="F21" s="28"/>
      <c r="G21" s="12"/>
      <c r="H21" s="410"/>
      <c r="I21" s="21">
        <v>18.428571428571427</v>
      </c>
      <c r="J21" s="29">
        <v>1714.2857142857142</v>
      </c>
      <c r="K21" s="12">
        <f t="shared" si="1"/>
        <v>93.023255813953497</v>
      </c>
      <c r="L21" s="21">
        <v>18.428571428571427</v>
      </c>
      <c r="M21" s="13">
        <f>AVERAGE(M14:M20)</f>
        <v>1641.2844545062537</v>
      </c>
      <c r="N21" s="12">
        <f t="shared" si="3"/>
        <v>89.061947143750203</v>
      </c>
      <c r="O21" s="14">
        <f t="shared" si="4"/>
        <v>0</v>
      </c>
      <c r="P21" s="15">
        <f t="shared" si="5"/>
        <v>-3.9613086702032945</v>
      </c>
      <c r="Q21" s="413">
        <f t="shared" si="6"/>
        <v>0.95741593179531459</v>
      </c>
      <c r="R21" s="616"/>
      <c r="S21" s="32"/>
      <c r="T21" s="32"/>
      <c r="U21" s="408"/>
      <c r="V21" s="411"/>
      <c r="W21" s="12"/>
      <c r="X21" s="12"/>
      <c r="Y21" s="22">
        <f>SUM(Y14:Y20)</f>
        <v>0</v>
      </c>
      <c r="Z21" s="22">
        <f>SUM(Z14:Z20)</f>
        <v>0</v>
      </c>
      <c r="AA21" s="611"/>
      <c r="AB21" s="611"/>
      <c r="AC21" s="22">
        <v>7</v>
      </c>
      <c r="AD21" s="22">
        <f>SUM(AD14:AD20)</f>
        <v>0</v>
      </c>
      <c r="AE21" s="14">
        <f t="shared" si="8"/>
        <v>-73.001259779460497</v>
      </c>
      <c r="AF21" s="413">
        <f t="shared" si="9"/>
        <v>0.9574159317953147</v>
      </c>
      <c r="AG21" s="616"/>
    </row>
    <row r="22" spans="1:33" ht="15.75" customHeight="1">
      <c r="A22" s="634" t="s">
        <v>280</v>
      </c>
      <c r="B22" s="27" t="s">
        <v>5</v>
      </c>
      <c r="C22" s="659" t="s">
        <v>16</v>
      </c>
      <c r="D22" s="659"/>
      <c r="E22" s="27">
        <v>50.67</v>
      </c>
      <c r="F22" s="410">
        <v>1534</v>
      </c>
      <c r="G22" s="408">
        <f t="shared" ref="G22:G27" si="19">E22*F22</f>
        <v>77727.78</v>
      </c>
      <c r="H22" s="31" t="s">
        <v>40</v>
      </c>
      <c r="I22" s="407">
        <v>17</v>
      </c>
      <c r="J22" s="29">
        <v>2000</v>
      </c>
      <c r="K22" s="12">
        <f t="shared" si="1"/>
        <v>117.64705882352941</v>
      </c>
      <c r="L22" s="407">
        <v>17</v>
      </c>
      <c r="M22" s="13">
        <f t="shared" ref="M22:M27" si="20">F22/V22*60</f>
        <v>1917.5000000000005</v>
      </c>
      <c r="N22" s="12">
        <f t="shared" si="3"/>
        <v>112.79411764705885</v>
      </c>
      <c r="O22" s="14">
        <f t="shared" si="4"/>
        <v>0</v>
      </c>
      <c r="P22" s="15">
        <f t="shared" si="5"/>
        <v>-4.8529411764705515</v>
      </c>
      <c r="Q22" s="413">
        <f t="shared" si="6"/>
        <v>0.95875000000000032</v>
      </c>
      <c r="R22" s="616">
        <f>Q28</f>
        <v>0.95903016069736202</v>
      </c>
      <c r="S22" s="32">
        <v>0.20833333333333334</v>
      </c>
      <c r="T22" s="32">
        <v>0.24166666666666667</v>
      </c>
      <c r="U22" s="408"/>
      <c r="V22" s="411">
        <f t="shared" ref="V22:V27" si="21">(T22-S22)*24*60</f>
        <v>47.999999999999986</v>
      </c>
      <c r="W22" s="16"/>
      <c r="X22" s="16"/>
      <c r="Y22" s="20"/>
      <c r="Z22" s="20"/>
      <c r="AA22" s="612"/>
      <c r="AB22" s="612"/>
      <c r="AC22" s="136">
        <v>6</v>
      </c>
      <c r="AD22" s="18"/>
      <c r="AE22" s="14">
        <f t="shared" si="8"/>
        <v>-82.499999999999545</v>
      </c>
      <c r="AF22" s="413">
        <f t="shared" si="9"/>
        <v>0.95875000000000021</v>
      </c>
      <c r="AG22" s="616">
        <f>AF28</f>
        <v>0.95903016069736202</v>
      </c>
    </row>
    <row r="23" spans="1:33" ht="15.75" customHeight="1">
      <c r="A23" s="635" t="s">
        <v>280</v>
      </c>
      <c r="B23" s="27" t="s">
        <v>5</v>
      </c>
      <c r="C23" s="659" t="s">
        <v>17</v>
      </c>
      <c r="D23" s="659"/>
      <c r="E23" s="27">
        <v>57.73</v>
      </c>
      <c r="F23" s="410">
        <v>1858</v>
      </c>
      <c r="G23" s="408">
        <f t="shared" si="19"/>
        <v>107262.34</v>
      </c>
      <c r="H23" s="31" t="s">
        <v>40</v>
      </c>
      <c r="I23" s="407">
        <v>14</v>
      </c>
      <c r="J23" s="29">
        <v>2000</v>
      </c>
      <c r="K23" s="12">
        <f t="shared" si="1"/>
        <v>142.85714285714286</v>
      </c>
      <c r="L23" s="407">
        <v>14</v>
      </c>
      <c r="M23" s="13">
        <f t="shared" si="20"/>
        <v>1922.0689655172414</v>
      </c>
      <c r="N23" s="12">
        <f t="shared" si="3"/>
        <v>137.29064039408868</v>
      </c>
      <c r="O23" s="14">
        <f t="shared" si="4"/>
        <v>0</v>
      </c>
      <c r="P23" s="15">
        <f t="shared" si="5"/>
        <v>-5.566502463054178</v>
      </c>
      <c r="Q23" s="413">
        <f t="shared" si="6"/>
        <v>0.9610344827586208</v>
      </c>
      <c r="R23" s="616"/>
      <c r="S23" s="32">
        <v>0.24513888888888888</v>
      </c>
      <c r="T23" s="32">
        <v>0.28541666666666665</v>
      </c>
      <c r="U23" s="408">
        <f t="shared" ref="U23:U27" si="22">IF(S23=TIME(17,0,0),"",(S23-T22)*24*60)</f>
        <v>4.9999999999999822</v>
      </c>
      <c r="V23" s="411">
        <f t="shared" si="21"/>
        <v>57.999999999999993</v>
      </c>
      <c r="W23" s="16"/>
      <c r="X23" s="408"/>
      <c r="Y23" s="408"/>
      <c r="Z23" s="408"/>
      <c r="AA23" s="612"/>
      <c r="AB23" s="612"/>
      <c r="AC23" s="136"/>
      <c r="AD23" s="18"/>
      <c r="AE23" s="14">
        <f t="shared" si="8"/>
        <v>-77.931034482758605</v>
      </c>
      <c r="AF23" s="413">
        <f t="shared" si="9"/>
        <v>0.96103448275862069</v>
      </c>
      <c r="AG23" s="616"/>
    </row>
    <row r="24" spans="1:33" ht="15.75" customHeight="1">
      <c r="A24" s="635" t="s">
        <v>280</v>
      </c>
      <c r="B24" s="27" t="s">
        <v>5</v>
      </c>
      <c r="C24" s="659" t="s">
        <v>60</v>
      </c>
      <c r="D24" s="659"/>
      <c r="E24" s="27">
        <v>53.27</v>
      </c>
      <c r="F24" s="410">
        <v>1375</v>
      </c>
      <c r="G24" s="408">
        <f t="shared" si="19"/>
        <v>73246.25</v>
      </c>
      <c r="H24" s="31" t="s">
        <v>40</v>
      </c>
      <c r="I24" s="407">
        <v>16</v>
      </c>
      <c r="J24" s="29">
        <v>2000</v>
      </c>
      <c r="K24" s="12">
        <f t="shared" si="1"/>
        <v>125</v>
      </c>
      <c r="L24" s="407">
        <v>16</v>
      </c>
      <c r="M24" s="13">
        <f t="shared" si="20"/>
        <v>1918.6046511627903</v>
      </c>
      <c r="N24" s="12">
        <f t="shared" si="3"/>
        <v>119.9127906976744</v>
      </c>
      <c r="O24" s="14">
        <f t="shared" si="4"/>
        <v>0</v>
      </c>
      <c r="P24" s="15">
        <f t="shared" si="5"/>
        <v>-5.0872093023256042</v>
      </c>
      <c r="Q24" s="413">
        <f t="shared" si="6"/>
        <v>0.95930232558139517</v>
      </c>
      <c r="R24" s="616"/>
      <c r="S24" s="32">
        <v>0.29097222222222219</v>
      </c>
      <c r="T24" s="32">
        <v>0.3208333333333333</v>
      </c>
      <c r="U24" s="408">
        <f t="shared" si="22"/>
        <v>7.9999999999999716</v>
      </c>
      <c r="V24" s="411">
        <f t="shared" si="21"/>
        <v>43.000000000000007</v>
      </c>
      <c r="W24" s="16"/>
      <c r="X24" s="408"/>
      <c r="Y24" s="408"/>
      <c r="Z24" s="408"/>
      <c r="AA24" s="612"/>
      <c r="AB24" s="612"/>
      <c r="AC24" s="136"/>
      <c r="AD24" s="18"/>
      <c r="AE24" s="14">
        <f t="shared" si="8"/>
        <v>-81.395348837209667</v>
      </c>
      <c r="AF24" s="413">
        <f t="shared" si="9"/>
        <v>0.95930232558139517</v>
      </c>
      <c r="AG24" s="616"/>
    </row>
    <row r="25" spans="1:33" ht="15.75" customHeight="1">
      <c r="A25" s="635" t="s">
        <v>280</v>
      </c>
      <c r="B25" s="27" t="s">
        <v>5</v>
      </c>
      <c r="C25" s="659" t="s">
        <v>65</v>
      </c>
      <c r="D25" s="659"/>
      <c r="E25" s="27">
        <v>56.43</v>
      </c>
      <c r="F25" s="410">
        <v>1452</v>
      </c>
      <c r="G25" s="408">
        <f t="shared" si="19"/>
        <v>81936.36</v>
      </c>
      <c r="H25" s="31" t="s">
        <v>40</v>
      </c>
      <c r="I25" s="407">
        <v>13</v>
      </c>
      <c r="J25" s="29">
        <v>2000</v>
      </c>
      <c r="K25" s="12">
        <f t="shared" si="1"/>
        <v>153.84615384615384</v>
      </c>
      <c r="L25" s="407">
        <v>13</v>
      </c>
      <c r="M25" s="13">
        <f t="shared" si="20"/>
        <v>1936</v>
      </c>
      <c r="N25" s="12">
        <f t="shared" si="3"/>
        <v>148.92307692307693</v>
      </c>
      <c r="O25" s="14">
        <f t="shared" si="4"/>
        <v>0</v>
      </c>
      <c r="P25" s="15">
        <f t="shared" si="5"/>
        <v>-4.9230769230769056</v>
      </c>
      <c r="Q25" s="413">
        <f t="shared" si="6"/>
        <v>0.96800000000000008</v>
      </c>
      <c r="R25" s="616"/>
      <c r="S25" s="32">
        <v>0.70833333333333337</v>
      </c>
      <c r="T25" s="32">
        <v>0.73958333333333337</v>
      </c>
      <c r="U25" s="408" t="str">
        <f t="shared" si="22"/>
        <v/>
      </c>
      <c r="V25" s="411">
        <f t="shared" si="21"/>
        <v>45</v>
      </c>
      <c r="W25" s="16"/>
      <c r="X25" s="408"/>
      <c r="Y25" s="408"/>
      <c r="Z25" s="408"/>
      <c r="AA25" s="612"/>
      <c r="AB25" s="612"/>
      <c r="AC25" s="136"/>
      <c r="AD25" s="18"/>
      <c r="AE25" s="14">
        <f t="shared" si="8"/>
        <v>-64</v>
      </c>
      <c r="AF25" s="413">
        <f t="shared" si="9"/>
        <v>0.96799999999999997</v>
      </c>
      <c r="AG25" s="616"/>
    </row>
    <row r="26" spans="1:33" ht="15.75" customHeight="1">
      <c r="A26" s="635" t="s">
        <v>280</v>
      </c>
      <c r="B26" s="27" t="s">
        <v>5</v>
      </c>
      <c r="C26" s="659" t="s">
        <v>1322</v>
      </c>
      <c r="D26" s="659"/>
      <c r="E26" s="27">
        <v>54.09</v>
      </c>
      <c r="F26" s="410">
        <v>2444</v>
      </c>
      <c r="G26" s="408">
        <f t="shared" si="19"/>
        <v>132195.96000000002</v>
      </c>
      <c r="H26" s="31" t="s">
        <v>40</v>
      </c>
      <c r="I26" s="407">
        <v>18</v>
      </c>
      <c r="J26" s="29">
        <v>2000</v>
      </c>
      <c r="K26" s="12">
        <f t="shared" si="1"/>
        <v>111.11111111111111</v>
      </c>
      <c r="L26" s="407">
        <v>18</v>
      </c>
      <c r="M26" s="13">
        <f t="shared" si="20"/>
        <v>1904.4155844155835</v>
      </c>
      <c r="N26" s="12">
        <f t="shared" si="3"/>
        <v>105.80086580086575</v>
      </c>
      <c r="O26" s="14">
        <f t="shared" si="4"/>
        <v>0</v>
      </c>
      <c r="P26" s="15">
        <f t="shared" si="5"/>
        <v>-5.3102453102453637</v>
      </c>
      <c r="Q26" s="413">
        <f t="shared" si="6"/>
        <v>0.95220779220779173</v>
      </c>
      <c r="R26" s="616"/>
      <c r="S26" s="32">
        <v>0.74305555555555558</v>
      </c>
      <c r="T26" s="32">
        <v>0.79652777777777783</v>
      </c>
      <c r="U26" s="408">
        <f t="shared" si="22"/>
        <v>4.9999999999999822</v>
      </c>
      <c r="V26" s="411">
        <f t="shared" si="21"/>
        <v>77.000000000000043</v>
      </c>
      <c r="W26" s="16"/>
      <c r="X26" s="16"/>
      <c r="Y26" s="408"/>
      <c r="Z26" s="408"/>
      <c r="AA26" s="612"/>
      <c r="AB26" s="612"/>
      <c r="AC26" s="136"/>
      <c r="AD26" s="18"/>
      <c r="AE26" s="14">
        <f t="shared" si="8"/>
        <v>-95.584415584416547</v>
      </c>
      <c r="AF26" s="413">
        <f t="shared" si="9"/>
        <v>0.95220779220779173</v>
      </c>
      <c r="AG26" s="616"/>
    </row>
    <row r="27" spans="1:33" ht="15.75" customHeight="1">
      <c r="A27" s="635" t="s">
        <v>2129</v>
      </c>
      <c r="B27" s="27" t="s">
        <v>5</v>
      </c>
      <c r="C27" s="659" t="s">
        <v>1930</v>
      </c>
      <c r="D27" s="659"/>
      <c r="E27" s="27">
        <v>57.3</v>
      </c>
      <c r="F27" s="410">
        <v>2801</v>
      </c>
      <c r="G27" s="408">
        <f t="shared" si="19"/>
        <v>160497.29999999999</v>
      </c>
      <c r="H27" s="31" t="s">
        <v>40</v>
      </c>
      <c r="I27" s="407">
        <v>16</v>
      </c>
      <c r="J27" s="29">
        <v>2000</v>
      </c>
      <c r="K27" s="12">
        <f t="shared" si="1"/>
        <v>125</v>
      </c>
      <c r="L27" s="407">
        <v>16</v>
      </c>
      <c r="M27" s="13">
        <f t="shared" si="20"/>
        <v>1909.7727272727273</v>
      </c>
      <c r="N27" s="12">
        <f t="shared" si="3"/>
        <v>119.36079545454545</v>
      </c>
      <c r="O27" s="14">
        <f t="shared" si="4"/>
        <v>0</v>
      </c>
      <c r="P27" s="15">
        <f t="shared" si="5"/>
        <v>-5.6392045454545467</v>
      </c>
      <c r="Q27" s="413">
        <f t="shared" si="6"/>
        <v>0.95488636363636359</v>
      </c>
      <c r="R27" s="616"/>
      <c r="S27" s="32">
        <v>0.8</v>
      </c>
      <c r="T27" s="32">
        <v>0.86111111111111116</v>
      </c>
      <c r="U27" s="408">
        <f t="shared" si="22"/>
        <v>4.9999999999999822</v>
      </c>
      <c r="V27" s="411">
        <f t="shared" si="21"/>
        <v>88</v>
      </c>
      <c r="W27" s="16"/>
      <c r="X27" s="20"/>
      <c r="Y27" s="20"/>
      <c r="Z27" s="20"/>
      <c r="AA27" s="612"/>
      <c r="AB27" s="612"/>
      <c r="AC27" s="136"/>
      <c r="AD27" s="18"/>
      <c r="AE27" s="14">
        <f t="shared" si="8"/>
        <v>-90.227272727272748</v>
      </c>
      <c r="AF27" s="413">
        <f t="shared" si="9"/>
        <v>0.95488636363636359</v>
      </c>
      <c r="AG27" s="616"/>
    </row>
    <row r="28" spans="1:33" ht="15.75" customHeight="1">
      <c r="A28" s="635" t="s">
        <v>280</v>
      </c>
      <c r="B28" s="27" t="s">
        <v>70</v>
      </c>
      <c r="C28" s="658"/>
      <c r="D28" s="658"/>
      <c r="E28" s="412"/>
      <c r="F28" s="410"/>
      <c r="G28" s="408"/>
      <c r="H28" s="410"/>
      <c r="I28" s="21">
        <v>15.666666666666666</v>
      </c>
      <c r="J28" s="29">
        <v>2000</v>
      </c>
      <c r="K28" s="12">
        <f t="shared" si="1"/>
        <v>127.65957446808511</v>
      </c>
      <c r="L28" s="21">
        <v>15.666666666666666</v>
      </c>
      <c r="M28" s="13">
        <f>AVERAGE(M22:M27)</f>
        <v>1918.060321394724</v>
      </c>
      <c r="N28" s="12">
        <f t="shared" si="3"/>
        <v>122.42938221668452</v>
      </c>
      <c r="O28" s="14">
        <f t="shared" si="4"/>
        <v>0</v>
      </c>
      <c r="P28" s="15">
        <f t="shared" si="5"/>
        <v>-5.2301922514005952</v>
      </c>
      <c r="Q28" s="413">
        <f t="shared" si="6"/>
        <v>0.95903016069736202</v>
      </c>
      <c r="R28" s="616"/>
      <c r="S28" s="32"/>
      <c r="T28" s="32"/>
      <c r="U28" s="12"/>
      <c r="V28" s="411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-81.939678605275958</v>
      </c>
      <c r="AF28" s="413">
        <f t="shared" si="9"/>
        <v>0.95903016069736202</v>
      </c>
      <c r="AG28" s="616"/>
    </row>
    <row r="29" spans="1:33" ht="15.75" customHeight="1">
      <c r="A29" s="633" t="s">
        <v>2130</v>
      </c>
      <c r="B29" s="27" t="s">
        <v>20</v>
      </c>
      <c r="C29" s="659" t="s">
        <v>21</v>
      </c>
      <c r="D29" s="659"/>
      <c r="E29" s="27">
        <v>31.29</v>
      </c>
      <c r="F29" s="410">
        <v>4900</v>
      </c>
      <c r="G29" s="408">
        <f t="shared" ref="G29:G35" si="23">E29*F29</f>
        <v>153321</v>
      </c>
      <c r="H29" s="31">
        <v>2</v>
      </c>
      <c r="I29" s="407">
        <v>18</v>
      </c>
      <c r="J29" s="29">
        <v>2400</v>
      </c>
      <c r="K29" s="12">
        <f t="shared" si="1"/>
        <v>133.33333333333334</v>
      </c>
      <c r="L29" s="407">
        <v>18</v>
      </c>
      <c r="M29" s="13">
        <f t="shared" ref="M29:M35" si="24">F29/V29*60</f>
        <v>2296.875</v>
      </c>
      <c r="N29" s="12">
        <f t="shared" si="3"/>
        <v>127.60416666666667</v>
      </c>
      <c r="O29" s="14">
        <f t="shared" si="4"/>
        <v>0</v>
      </c>
      <c r="P29" s="15">
        <f t="shared" si="5"/>
        <v>-5.7291666666666714</v>
      </c>
      <c r="Q29" s="413">
        <f t="shared" si="6"/>
        <v>0.95703125</v>
      </c>
      <c r="R29" s="616">
        <f>Q36</f>
        <v>0.95957888468385788</v>
      </c>
      <c r="S29" s="32">
        <v>8.3333333333333329E-2</v>
      </c>
      <c r="T29" s="32">
        <v>0.17222222222222222</v>
      </c>
      <c r="U29" s="408"/>
      <c r="V29" s="411">
        <f t="shared" ref="V29:V35" si="25">(T29-S29)*24*60</f>
        <v>128</v>
      </c>
      <c r="W29" s="16">
        <f>T29</f>
        <v>0.17222222222222222</v>
      </c>
      <c r="X29" s="16">
        <f>S30</f>
        <v>0.19375000000000001</v>
      </c>
      <c r="Y29" s="16"/>
      <c r="Z29" s="16"/>
      <c r="AA29" s="612"/>
      <c r="AB29" s="612"/>
      <c r="AC29" s="136">
        <v>7</v>
      </c>
      <c r="AD29" s="18"/>
      <c r="AE29" s="14">
        <f t="shared" si="8"/>
        <v>-103.125</v>
      </c>
      <c r="AF29" s="413">
        <f t="shared" si="9"/>
        <v>0.95703125</v>
      </c>
      <c r="AG29" s="616">
        <f>AF36</f>
        <v>0.95957888468385799</v>
      </c>
    </row>
    <row r="30" spans="1:33" ht="15.75" customHeight="1">
      <c r="A30" s="633" t="s">
        <v>2130</v>
      </c>
      <c r="B30" s="27" t="s">
        <v>20</v>
      </c>
      <c r="C30" s="659" t="s">
        <v>22</v>
      </c>
      <c r="D30" s="659"/>
      <c r="E30" s="27">
        <v>26.37</v>
      </c>
      <c r="F30" s="410">
        <v>6094</v>
      </c>
      <c r="G30" s="408">
        <f t="shared" si="23"/>
        <v>160698.78</v>
      </c>
      <c r="H30" s="31" t="s">
        <v>40</v>
      </c>
      <c r="I30" s="407">
        <v>18</v>
      </c>
      <c r="J30" s="29">
        <v>2400</v>
      </c>
      <c r="K30" s="12">
        <f t="shared" si="1"/>
        <v>133.33333333333334</v>
      </c>
      <c r="L30" s="407">
        <v>18</v>
      </c>
      <c r="M30" s="13">
        <f t="shared" si="24"/>
        <v>2285.2499999999995</v>
      </c>
      <c r="N30" s="12">
        <f t="shared" si="3"/>
        <v>126.95833333333331</v>
      </c>
      <c r="O30" s="14">
        <f t="shared" si="4"/>
        <v>0</v>
      </c>
      <c r="P30" s="15">
        <f t="shared" si="5"/>
        <v>-6.3750000000000284</v>
      </c>
      <c r="Q30" s="413">
        <f t="shared" si="6"/>
        <v>0.95218749999999974</v>
      </c>
      <c r="R30" s="616"/>
      <c r="S30" s="32">
        <v>0.19375000000000001</v>
      </c>
      <c r="T30" s="32">
        <v>0.30486111111111114</v>
      </c>
      <c r="U30" s="408">
        <f t="shared" ref="U30:U35" si="26">(S30-T29)*24*60</f>
        <v>31.000000000000011</v>
      </c>
      <c r="V30" s="411">
        <f t="shared" si="25"/>
        <v>160.00000000000003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-114.75000000000045</v>
      </c>
      <c r="AF30" s="413">
        <f t="shared" si="9"/>
        <v>0.95218749999999985</v>
      </c>
      <c r="AG30" s="616"/>
    </row>
    <row r="31" spans="1:33" ht="15.75" customHeight="1">
      <c r="A31" s="633" t="s">
        <v>617</v>
      </c>
      <c r="B31" s="27" t="s">
        <v>20</v>
      </c>
      <c r="C31" s="659" t="s">
        <v>57</v>
      </c>
      <c r="D31" s="659"/>
      <c r="E31" s="27">
        <v>26.18</v>
      </c>
      <c r="F31" s="410">
        <v>4200</v>
      </c>
      <c r="G31" s="408">
        <f t="shared" si="23"/>
        <v>109956</v>
      </c>
      <c r="H31" s="31">
        <v>2</v>
      </c>
      <c r="I31" s="407">
        <v>18</v>
      </c>
      <c r="J31" s="29">
        <v>2400</v>
      </c>
      <c r="K31" s="12">
        <f t="shared" si="1"/>
        <v>133.33333333333334</v>
      </c>
      <c r="L31" s="407">
        <v>18</v>
      </c>
      <c r="M31" s="13">
        <f t="shared" si="24"/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413">
        <f t="shared" si="6"/>
        <v>0.95454545454545459</v>
      </c>
      <c r="R31" s="616"/>
      <c r="S31" s="32">
        <v>0.31041666666666667</v>
      </c>
      <c r="T31" s="32">
        <v>0.38680555555555557</v>
      </c>
      <c r="U31" s="408">
        <f t="shared" si="26"/>
        <v>7.9999999999999716</v>
      </c>
      <c r="V31" s="411">
        <f t="shared" si="25"/>
        <v>110.00000000000001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-109.09090909090901</v>
      </c>
      <c r="AF31" s="413">
        <f t="shared" si="9"/>
        <v>0.95454545454545459</v>
      </c>
      <c r="AG31" s="616"/>
    </row>
    <row r="32" spans="1:33" ht="15.75" customHeight="1">
      <c r="A32" s="633" t="s">
        <v>617</v>
      </c>
      <c r="B32" s="27" t="s">
        <v>20</v>
      </c>
      <c r="C32" s="659" t="s">
        <v>59</v>
      </c>
      <c r="D32" s="659"/>
      <c r="E32" s="27">
        <v>25.99</v>
      </c>
      <c r="F32" s="410">
        <v>1326</v>
      </c>
      <c r="G32" s="408">
        <f t="shared" si="23"/>
        <v>34462.74</v>
      </c>
      <c r="H32" s="31" t="s">
        <v>40</v>
      </c>
      <c r="I32" s="407">
        <v>18</v>
      </c>
      <c r="J32" s="29">
        <v>2400</v>
      </c>
      <c r="K32" s="12">
        <f t="shared" si="1"/>
        <v>133.33333333333334</v>
      </c>
      <c r="L32" s="407">
        <v>18</v>
      </c>
      <c r="M32" s="13">
        <f t="shared" si="24"/>
        <v>2340.0000000000032</v>
      </c>
      <c r="N32" s="12">
        <f t="shared" si="3"/>
        <v>130.00000000000017</v>
      </c>
      <c r="O32" s="14">
        <f t="shared" si="4"/>
        <v>0</v>
      </c>
      <c r="P32" s="15">
        <f t="shared" si="5"/>
        <v>-3.3333333333331723</v>
      </c>
      <c r="Q32" s="413">
        <f t="shared" si="6"/>
        <v>0.9750000000000012</v>
      </c>
      <c r="R32" s="616"/>
      <c r="S32" s="32">
        <v>0.3923611111111111</v>
      </c>
      <c r="T32" s="32">
        <v>0.41597222222222219</v>
      </c>
      <c r="U32" s="408">
        <f t="shared" si="26"/>
        <v>7.9999999999999716</v>
      </c>
      <c r="V32" s="411">
        <f t="shared" si="25"/>
        <v>33.999999999999957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-59.999999999996817</v>
      </c>
      <c r="AF32" s="413">
        <f t="shared" si="9"/>
        <v>0.97500000000000131</v>
      </c>
      <c r="AG32" s="616"/>
    </row>
    <row r="33" spans="1:33" ht="15.75" customHeight="1">
      <c r="A33" s="633" t="s">
        <v>2130</v>
      </c>
      <c r="B33" s="27" t="s">
        <v>20</v>
      </c>
      <c r="C33" s="659" t="s">
        <v>23</v>
      </c>
      <c r="D33" s="659"/>
      <c r="E33" s="27">
        <v>25.99</v>
      </c>
      <c r="F33" s="410">
        <v>3808</v>
      </c>
      <c r="G33" s="408">
        <f t="shared" si="23"/>
        <v>98969.919999999998</v>
      </c>
      <c r="H33" s="31" t="s">
        <v>40</v>
      </c>
      <c r="I33" s="407">
        <v>14</v>
      </c>
      <c r="J33" s="29">
        <v>2400</v>
      </c>
      <c r="K33" s="12">
        <f t="shared" si="1"/>
        <v>171.42857142857142</v>
      </c>
      <c r="L33" s="407">
        <v>14</v>
      </c>
      <c r="M33" s="13">
        <f t="shared" si="24"/>
        <v>2307.8787878787889</v>
      </c>
      <c r="N33" s="12">
        <f t="shared" si="3"/>
        <v>164.84848484848493</v>
      </c>
      <c r="O33" s="14">
        <f t="shared" si="4"/>
        <v>0</v>
      </c>
      <c r="P33" s="15">
        <f t="shared" si="5"/>
        <v>-6.5800865800864869</v>
      </c>
      <c r="Q33" s="413">
        <f t="shared" si="6"/>
        <v>0.96161616161616215</v>
      </c>
      <c r="R33" s="616"/>
      <c r="S33" s="32">
        <v>0.42013888888888884</v>
      </c>
      <c r="T33" s="32">
        <v>0.48888888888888882</v>
      </c>
      <c r="U33" s="408">
        <f t="shared" si="26"/>
        <v>5.9999999999999787</v>
      </c>
      <c r="V33" s="411">
        <f t="shared" si="25"/>
        <v>98.999999999999972</v>
      </c>
      <c r="W33" s="16">
        <f>T33</f>
        <v>0.48888888888888882</v>
      </c>
      <c r="X33" s="16">
        <f>S34</f>
        <v>0.52847222222222212</v>
      </c>
      <c r="Y33" s="16"/>
      <c r="Z33" s="16"/>
      <c r="AA33" s="612"/>
      <c r="AB33" s="612"/>
      <c r="AC33" s="136"/>
      <c r="AD33" s="18"/>
      <c r="AE33" s="14">
        <f t="shared" si="8"/>
        <v>-92.121212121211101</v>
      </c>
      <c r="AF33" s="413">
        <f t="shared" si="9"/>
        <v>0.96161616161616204</v>
      </c>
      <c r="AG33" s="616"/>
    </row>
    <row r="34" spans="1:33" ht="15.75" customHeight="1">
      <c r="A34" s="633" t="s">
        <v>617</v>
      </c>
      <c r="B34" s="27" t="s">
        <v>20</v>
      </c>
      <c r="C34" s="659" t="s">
        <v>21</v>
      </c>
      <c r="D34" s="659"/>
      <c r="E34" s="27">
        <v>31.29</v>
      </c>
      <c r="F34" s="410">
        <v>3651</v>
      </c>
      <c r="G34" s="408">
        <f t="shared" si="23"/>
        <v>114239.79</v>
      </c>
      <c r="H34" s="31" t="s">
        <v>40</v>
      </c>
      <c r="I34" s="407">
        <v>18</v>
      </c>
      <c r="J34" s="29">
        <v>2400</v>
      </c>
      <c r="K34" s="12">
        <f t="shared" si="1"/>
        <v>133.33333333333334</v>
      </c>
      <c r="L34" s="407">
        <v>18</v>
      </c>
      <c r="M34" s="13">
        <f t="shared" si="24"/>
        <v>2305.8947368421059</v>
      </c>
      <c r="N34" s="12">
        <f t="shared" si="3"/>
        <v>128.10526315789477</v>
      </c>
      <c r="O34" s="14">
        <f t="shared" si="4"/>
        <v>0</v>
      </c>
      <c r="P34" s="15">
        <f t="shared" si="5"/>
        <v>-5.2280701754385746</v>
      </c>
      <c r="Q34" s="413">
        <f t="shared" si="6"/>
        <v>0.96078947368421075</v>
      </c>
      <c r="R34" s="616"/>
      <c r="S34" s="32">
        <v>0.52847222222222212</v>
      </c>
      <c r="T34" s="32">
        <v>0.59444444444444433</v>
      </c>
      <c r="U34" s="408">
        <f t="shared" si="26"/>
        <v>56.999999999999957</v>
      </c>
      <c r="V34" s="411">
        <f t="shared" si="25"/>
        <v>94.999999999999986</v>
      </c>
      <c r="W34" s="16"/>
      <c r="X34" s="16"/>
      <c r="Y34" s="16"/>
      <c r="Z34" s="16"/>
      <c r="AA34" s="612"/>
      <c r="AB34" s="612"/>
      <c r="AC34" s="136"/>
      <c r="AD34" s="18"/>
      <c r="AE34" s="14">
        <f t="shared" si="8"/>
        <v>-94.105263157894115</v>
      </c>
      <c r="AF34" s="413">
        <f t="shared" si="9"/>
        <v>0.96078947368421075</v>
      </c>
      <c r="AG34" s="616"/>
    </row>
    <row r="35" spans="1:33" ht="15.75" customHeight="1">
      <c r="A35" s="633" t="s">
        <v>617</v>
      </c>
      <c r="B35" s="27" t="s">
        <v>20</v>
      </c>
      <c r="C35" s="659" t="s">
        <v>57</v>
      </c>
      <c r="D35" s="659"/>
      <c r="E35" s="27">
        <v>26.18</v>
      </c>
      <c r="F35" s="410">
        <v>3250</v>
      </c>
      <c r="G35" s="408">
        <f t="shared" si="23"/>
        <v>85085</v>
      </c>
      <c r="H35" s="31" t="s">
        <v>40</v>
      </c>
      <c r="I35" s="407">
        <v>18</v>
      </c>
      <c r="J35" s="29">
        <v>2400</v>
      </c>
      <c r="K35" s="12">
        <f t="shared" si="1"/>
        <v>133.33333333333334</v>
      </c>
      <c r="L35" s="407">
        <v>18</v>
      </c>
      <c r="M35" s="13">
        <f t="shared" si="24"/>
        <v>2294.117647058823</v>
      </c>
      <c r="N35" s="12">
        <f t="shared" si="3"/>
        <v>127.45098039215684</v>
      </c>
      <c r="O35" s="14">
        <f t="shared" si="4"/>
        <v>0</v>
      </c>
      <c r="P35" s="15">
        <f t="shared" si="5"/>
        <v>-5.8823529411765065</v>
      </c>
      <c r="Q35" s="413">
        <f t="shared" si="6"/>
        <v>0.95588235294117618</v>
      </c>
      <c r="R35" s="616"/>
      <c r="S35" s="32">
        <v>0.59791666666666654</v>
      </c>
      <c r="T35" s="32">
        <v>0.65694444444444433</v>
      </c>
      <c r="U35" s="408">
        <f t="shared" si="26"/>
        <v>4.9999999999999822</v>
      </c>
      <c r="V35" s="411">
        <f t="shared" si="25"/>
        <v>85.000000000000014</v>
      </c>
      <c r="W35" s="16"/>
      <c r="X35" s="16"/>
      <c r="Y35" s="16"/>
      <c r="Z35" s="16"/>
      <c r="AA35" s="612"/>
      <c r="AB35" s="612"/>
      <c r="AC35" s="136"/>
      <c r="AD35" s="18"/>
      <c r="AE35" s="14">
        <f t="shared" si="8"/>
        <v>-105.88235294117703</v>
      </c>
      <c r="AF35" s="413">
        <f t="shared" si="9"/>
        <v>0.95588235294117618</v>
      </c>
      <c r="AG35" s="616"/>
    </row>
    <row r="36" spans="1:33" ht="15.75" customHeight="1">
      <c r="A36" s="633" t="s">
        <v>617</v>
      </c>
      <c r="B36" s="27" t="s">
        <v>2131</v>
      </c>
      <c r="C36" s="658"/>
      <c r="D36" s="658"/>
      <c r="E36" s="412"/>
      <c r="F36" s="410"/>
      <c r="G36" s="408"/>
      <c r="H36" s="410"/>
      <c r="I36" s="21">
        <v>17.428571428571427</v>
      </c>
      <c r="J36" s="29">
        <v>2400</v>
      </c>
      <c r="K36" s="12">
        <f t="shared" si="1"/>
        <v>137.70491803278691</v>
      </c>
      <c r="L36" s="21">
        <v>17.428571428571427</v>
      </c>
      <c r="M36" s="13">
        <f>AVERAGE(M29:M35)</f>
        <v>2302.9893232412592</v>
      </c>
      <c r="N36" s="12">
        <f t="shared" si="3"/>
        <v>132.13873166138373</v>
      </c>
      <c r="O36" s="14">
        <f t="shared" si="4"/>
        <v>0</v>
      </c>
      <c r="P36" s="15">
        <f t="shared" si="5"/>
        <v>-5.5661863714031767</v>
      </c>
      <c r="Q36" s="413">
        <f t="shared" si="6"/>
        <v>0.95957888468385788</v>
      </c>
      <c r="R36" s="616"/>
      <c r="S36" s="32"/>
      <c r="T36" s="32"/>
      <c r="U36" s="408"/>
      <c r="V36" s="411"/>
      <c r="W36" s="408"/>
      <c r="X36" s="408"/>
      <c r="Y36" s="22">
        <f>SUM(Y29:Y35)</f>
        <v>0</v>
      </c>
      <c r="Z36" s="22">
        <f>SUM(Z29:Z35)</f>
        <v>0</v>
      </c>
      <c r="AA36" s="611"/>
      <c r="AB36" s="611"/>
      <c r="AC36" s="22">
        <v>7</v>
      </c>
      <c r="AD36" s="22">
        <f>SUM(AD29:AD35)</f>
        <v>0</v>
      </c>
      <c r="AE36" s="14">
        <f t="shared" si="8"/>
        <v>-97.010676758740829</v>
      </c>
      <c r="AF36" s="413">
        <f t="shared" si="9"/>
        <v>0.95957888468385799</v>
      </c>
      <c r="AG36" s="616"/>
    </row>
    <row r="37" spans="1:33" ht="15.75" customHeight="1">
      <c r="A37" s="629" t="s">
        <v>2132</v>
      </c>
      <c r="B37" s="27" t="s">
        <v>20</v>
      </c>
      <c r="C37" s="660" t="s">
        <v>58</v>
      </c>
      <c r="D37" s="660"/>
      <c r="E37" s="27">
        <v>26.18</v>
      </c>
      <c r="F37" s="410">
        <v>5865</v>
      </c>
      <c r="G37" s="408">
        <f t="shared" ref="G37:G43" si="27">E37*F37</f>
        <v>153545.70000000001</v>
      </c>
      <c r="H37" s="31" t="s">
        <v>40</v>
      </c>
      <c r="I37" s="407">
        <v>20</v>
      </c>
      <c r="J37" s="29">
        <v>2400</v>
      </c>
      <c r="K37" s="12">
        <f t="shared" si="1"/>
        <v>120</v>
      </c>
      <c r="L37" s="407">
        <v>20</v>
      </c>
      <c r="M37" s="13">
        <f t="shared" ref="M37:M43" si="28">F37/V37*60</f>
        <v>2285.0649350649351</v>
      </c>
      <c r="N37" s="12">
        <f t="shared" si="3"/>
        <v>114.25324675324676</v>
      </c>
      <c r="O37" s="14">
        <f t="shared" si="4"/>
        <v>0</v>
      </c>
      <c r="P37" s="15">
        <f t="shared" si="5"/>
        <v>-5.7467532467532436</v>
      </c>
      <c r="Q37" s="413">
        <f t="shared" si="6"/>
        <v>0.95211038961038963</v>
      </c>
      <c r="R37" s="616">
        <f>Q44</f>
        <v>0.95811221989312834</v>
      </c>
      <c r="S37" s="32">
        <v>8.3333333333333329E-2</v>
      </c>
      <c r="T37" s="32">
        <v>0.19027777777777777</v>
      </c>
      <c r="U37" s="408"/>
      <c r="V37" s="411">
        <f t="shared" ref="V37:V43" si="29">(T37-S37)*24*60</f>
        <v>154</v>
      </c>
      <c r="W37" s="20">
        <f>T37</f>
        <v>0.19027777777777777</v>
      </c>
      <c r="X37" s="20">
        <f>S38</f>
        <v>0.21180555555555555</v>
      </c>
      <c r="Y37" s="20"/>
      <c r="Z37" s="20"/>
      <c r="AA37" s="612"/>
      <c r="AB37" s="612"/>
      <c r="AC37" s="136">
        <v>7</v>
      </c>
      <c r="AD37" s="18"/>
      <c r="AE37" s="14">
        <f t="shared" si="8"/>
        <v>-114.93506493506493</v>
      </c>
      <c r="AF37" s="413">
        <f t="shared" si="9"/>
        <v>0.95211038961038963</v>
      </c>
      <c r="AG37" s="616">
        <f>AF44</f>
        <v>0.95811221989312834</v>
      </c>
    </row>
    <row r="38" spans="1:33" ht="15.75" customHeight="1">
      <c r="A38" s="629" t="s">
        <v>2132</v>
      </c>
      <c r="B38" s="27" t="s">
        <v>20</v>
      </c>
      <c r="C38" s="660" t="s">
        <v>25</v>
      </c>
      <c r="D38" s="660"/>
      <c r="E38" s="27">
        <v>24.43</v>
      </c>
      <c r="F38" s="410">
        <v>3800</v>
      </c>
      <c r="G38" s="408">
        <f t="shared" si="27"/>
        <v>92834</v>
      </c>
      <c r="H38" s="31">
        <v>2</v>
      </c>
      <c r="I38" s="407">
        <v>14</v>
      </c>
      <c r="J38" s="29">
        <v>2400</v>
      </c>
      <c r="K38" s="12">
        <f t="shared" si="1"/>
        <v>171.42857142857142</v>
      </c>
      <c r="L38" s="407">
        <v>14</v>
      </c>
      <c r="M38" s="13">
        <f t="shared" si="28"/>
        <v>2303.030303030303</v>
      </c>
      <c r="N38" s="12">
        <f t="shared" si="3"/>
        <v>164.5021645021645</v>
      </c>
      <c r="O38" s="14">
        <f t="shared" si="4"/>
        <v>0</v>
      </c>
      <c r="P38" s="15">
        <f t="shared" si="5"/>
        <v>-6.9264069264069121</v>
      </c>
      <c r="Q38" s="413">
        <f t="shared" si="6"/>
        <v>0.95959595959595967</v>
      </c>
      <c r="R38" s="616"/>
      <c r="S38" s="32">
        <v>0.21180555555555555</v>
      </c>
      <c r="T38" s="32">
        <v>0.28055555555555556</v>
      </c>
      <c r="U38" s="408">
        <f t="shared" ref="U38:U43" si="30">(S38-T37)*24*60</f>
        <v>31.000000000000011</v>
      </c>
      <c r="V38" s="411">
        <f t="shared" si="29"/>
        <v>99.000000000000014</v>
      </c>
      <c r="W38" s="408"/>
      <c r="X38" s="408"/>
      <c r="Y38" s="408"/>
      <c r="Z38" s="408"/>
      <c r="AA38" s="612"/>
      <c r="AB38" s="612"/>
      <c r="AC38" s="136"/>
      <c r="AD38" s="18"/>
      <c r="AE38" s="14">
        <f t="shared" si="8"/>
        <v>-96.969696969696997</v>
      </c>
      <c r="AF38" s="413">
        <f t="shared" si="9"/>
        <v>0.95959595959595956</v>
      </c>
      <c r="AG38" s="616"/>
    </row>
    <row r="39" spans="1:33">
      <c r="A39" s="630" t="s">
        <v>2132</v>
      </c>
      <c r="B39" s="27" t="s">
        <v>20</v>
      </c>
      <c r="C39" s="660" t="s">
        <v>83</v>
      </c>
      <c r="D39" s="660"/>
      <c r="E39" s="27">
        <v>25.98</v>
      </c>
      <c r="F39" s="410">
        <v>3793</v>
      </c>
      <c r="G39" s="408">
        <f t="shared" si="27"/>
        <v>98542.14</v>
      </c>
      <c r="H39" s="31" t="s">
        <v>40</v>
      </c>
      <c r="I39" s="407">
        <v>20</v>
      </c>
      <c r="J39" s="29">
        <v>2400</v>
      </c>
      <c r="K39" s="12">
        <f t="shared" si="1"/>
        <v>120</v>
      </c>
      <c r="L39" s="407">
        <v>20</v>
      </c>
      <c r="M39" s="13">
        <f t="shared" si="28"/>
        <v>2298.7878787878794</v>
      </c>
      <c r="N39" s="12">
        <f t="shared" si="3"/>
        <v>114.93939393939397</v>
      </c>
      <c r="O39" s="14">
        <f t="shared" si="4"/>
        <v>0</v>
      </c>
      <c r="P39" s="15">
        <f t="shared" si="5"/>
        <v>-5.0606060606060339</v>
      </c>
      <c r="Q39" s="413">
        <f t="shared" si="6"/>
        <v>0.95782828282828303</v>
      </c>
      <c r="R39" s="616"/>
      <c r="S39" s="32">
        <v>0.28541666666666665</v>
      </c>
      <c r="T39" s="32">
        <v>0.35416666666666663</v>
      </c>
      <c r="U39" s="408">
        <f t="shared" si="30"/>
        <v>6.9999999999999751</v>
      </c>
      <c r="V39" s="411">
        <f t="shared" si="29"/>
        <v>98.999999999999972</v>
      </c>
      <c r="W39" s="408"/>
      <c r="X39" s="408"/>
      <c r="Y39" s="408"/>
      <c r="Z39" s="408"/>
      <c r="AA39" s="612"/>
      <c r="AB39" s="612"/>
      <c r="AC39" s="136"/>
      <c r="AD39" s="18"/>
      <c r="AE39" s="14">
        <f t="shared" si="8"/>
        <v>-101.21212121212056</v>
      </c>
      <c r="AF39" s="413">
        <f t="shared" si="9"/>
        <v>0.95782828282828314</v>
      </c>
      <c r="AG39" s="616"/>
    </row>
    <row r="40" spans="1:33">
      <c r="A40" s="630" t="s">
        <v>620</v>
      </c>
      <c r="B40" s="27" t="s">
        <v>20</v>
      </c>
      <c r="C40" s="660" t="s">
        <v>26</v>
      </c>
      <c r="D40" s="660"/>
      <c r="E40" s="27">
        <v>34.1</v>
      </c>
      <c r="F40" s="410">
        <v>3400</v>
      </c>
      <c r="G40" s="408">
        <f t="shared" si="27"/>
        <v>115940</v>
      </c>
      <c r="H40" s="31">
        <v>2</v>
      </c>
      <c r="I40" s="407">
        <v>17</v>
      </c>
      <c r="J40" s="29">
        <v>1600</v>
      </c>
      <c r="K40" s="12">
        <f t="shared" si="1"/>
        <v>94.117647058823536</v>
      </c>
      <c r="L40" s="407">
        <v>17</v>
      </c>
      <c r="M40" s="13">
        <f t="shared" si="28"/>
        <v>1533.8345864661655</v>
      </c>
      <c r="N40" s="12">
        <f t="shared" si="3"/>
        <v>90.225563909774451</v>
      </c>
      <c r="O40" s="14">
        <f t="shared" si="4"/>
        <v>0</v>
      </c>
      <c r="P40" s="15">
        <f t="shared" si="5"/>
        <v>-3.8920831490490855</v>
      </c>
      <c r="Q40" s="413">
        <f t="shared" si="6"/>
        <v>0.95864661654135352</v>
      </c>
      <c r="R40" s="616"/>
      <c r="S40" s="32">
        <v>0.35902777777777772</v>
      </c>
      <c r="T40" s="32">
        <v>0.45138888888888884</v>
      </c>
      <c r="U40" s="408">
        <f t="shared" si="30"/>
        <v>6.9999999999999751</v>
      </c>
      <c r="V40" s="411">
        <f t="shared" si="29"/>
        <v>133</v>
      </c>
      <c r="W40" s="16"/>
      <c r="X40" s="16"/>
      <c r="Y40" s="16"/>
      <c r="Z40" s="16"/>
      <c r="AA40" s="612"/>
      <c r="AB40" s="612"/>
      <c r="AC40" s="136"/>
      <c r="AD40" s="18"/>
      <c r="AE40" s="14">
        <f t="shared" si="8"/>
        <v>-66.165413533834453</v>
      </c>
      <c r="AF40" s="413">
        <f t="shared" si="9"/>
        <v>0.95864661654135341</v>
      </c>
      <c r="AG40" s="616"/>
    </row>
    <row r="41" spans="1:33">
      <c r="A41" s="630" t="s">
        <v>620</v>
      </c>
      <c r="B41" s="27" t="s">
        <v>20</v>
      </c>
      <c r="C41" s="660" t="s">
        <v>64</v>
      </c>
      <c r="D41" s="660"/>
      <c r="E41" s="27">
        <v>20.21</v>
      </c>
      <c r="F41" s="410">
        <v>2577</v>
      </c>
      <c r="G41" s="408">
        <f t="shared" si="27"/>
        <v>52081.170000000006</v>
      </c>
      <c r="H41" s="31" t="s">
        <v>40</v>
      </c>
      <c r="I41" s="407">
        <v>18</v>
      </c>
      <c r="J41" s="29">
        <v>2400</v>
      </c>
      <c r="K41" s="12">
        <f t="shared" si="1"/>
        <v>133.33333333333334</v>
      </c>
      <c r="L41" s="407">
        <v>18</v>
      </c>
      <c r="M41" s="13">
        <f t="shared" si="28"/>
        <v>2307.7611940298475</v>
      </c>
      <c r="N41" s="12">
        <f t="shared" si="3"/>
        <v>128.20895522388042</v>
      </c>
      <c r="O41" s="14">
        <f t="shared" si="4"/>
        <v>0</v>
      </c>
      <c r="P41" s="15">
        <f t="shared" si="5"/>
        <v>-5.1243781094529197</v>
      </c>
      <c r="Q41" s="413">
        <f t="shared" si="6"/>
        <v>0.96156716417910315</v>
      </c>
      <c r="R41" s="616"/>
      <c r="S41" s="32">
        <v>0.45624999999999993</v>
      </c>
      <c r="T41" s="32">
        <v>0.50277777777777777</v>
      </c>
      <c r="U41" s="408">
        <f t="shared" si="30"/>
        <v>6.9999999999999751</v>
      </c>
      <c r="V41" s="411">
        <f t="shared" si="29"/>
        <v>67.000000000000085</v>
      </c>
      <c r="W41" s="16">
        <f>T41</f>
        <v>0.50277777777777777</v>
      </c>
      <c r="X41" s="16">
        <f>S42</f>
        <v>0.54166666666666663</v>
      </c>
      <c r="Y41" s="16"/>
      <c r="Z41" s="16"/>
      <c r="AA41" s="612"/>
      <c r="AB41" s="612"/>
      <c r="AC41" s="136"/>
      <c r="AD41" s="18"/>
      <c r="AE41" s="14">
        <f t="shared" si="8"/>
        <v>-92.238805970152498</v>
      </c>
      <c r="AF41" s="413">
        <f t="shared" si="9"/>
        <v>0.96156716417910315</v>
      </c>
      <c r="AG41" s="616"/>
    </row>
    <row r="42" spans="1:33">
      <c r="A42" s="630" t="s">
        <v>620</v>
      </c>
      <c r="B42" s="27" t="s">
        <v>20</v>
      </c>
      <c r="C42" s="660" t="s">
        <v>25</v>
      </c>
      <c r="D42" s="660"/>
      <c r="E42" s="27">
        <v>24.43</v>
      </c>
      <c r="F42" s="410">
        <v>3025</v>
      </c>
      <c r="G42" s="408">
        <f t="shared" si="27"/>
        <v>73900.75</v>
      </c>
      <c r="H42" s="31" t="s">
        <v>40</v>
      </c>
      <c r="I42" s="407">
        <v>14</v>
      </c>
      <c r="J42" s="29">
        <v>2400</v>
      </c>
      <c r="K42" s="12">
        <f t="shared" si="1"/>
        <v>171.42857142857142</v>
      </c>
      <c r="L42" s="407">
        <v>14</v>
      </c>
      <c r="M42" s="13">
        <f t="shared" si="28"/>
        <v>2297.4683544303789</v>
      </c>
      <c r="N42" s="12">
        <f t="shared" si="3"/>
        <v>164.10488245931279</v>
      </c>
      <c r="O42" s="14">
        <f t="shared" si="4"/>
        <v>0</v>
      </c>
      <c r="P42" s="15">
        <f t="shared" si="5"/>
        <v>-7.323688969258626</v>
      </c>
      <c r="Q42" s="413">
        <f t="shared" si="6"/>
        <v>0.957278481012658</v>
      </c>
      <c r="R42" s="616"/>
      <c r="S42" s="32">
        <v>0.54166666666666663</v>
      </c>
      <c r="T42" s="32">
        <v>0.59652777777777777</v>
      </c>
      <c r="U42" s="408">
        <f t="shared" si="30"/>
        <v>55.999999999999957</v>
      </c>
      <c r="V42" s="411">
        <f t="shared" si="29"/>
        <v>79.000000000000043</v>
      </c>
      <c r="W42" s="16"/>
      <c r="X42" s="16"/>
      <c r="Y42" s="16"/>
      <c r="Z42" s="16"/>
      <c r="AA42" s="612"/>
      <c r="AB42" s="612"/>
      <c r="AC42" s="136"/>
      <c r="AD42" s="18"/>
      <c r="AE42" s="14">
        <f t="shared" si="8"/>
        <v>-102.53164556962111</v>
      </c>
      <c r="AF42" s="413">
        <f t="shared" si="9"/>
        <v>0.95727848101265789</v>
      </c>
      <c r="AG42" s="616"/>
    </row>
    <row r="43" spans="1:33">
      <c r="A43" s="630" t="s">
        <v>2132</v>
      </c>
      <c r="B43" s="27" t="s">
        <v>20</v>
      </c>
      <c r="C43" s="660" t="s">
        <v>26</v>
      </c>
      <c r="D43" s="660"/>
      <c r="E43" s="27">
        <v>34.1</v>
      </c>
      <c r="F43" s="410">
        <v>2716</v>
      </c>
      <c r="G43" s="408">
        <f t="shared" si="27"/>
        <v>92615.6</v>
      </c>
      <c r="H43" s="31" t="s">
        <v>40</v>
      </c>
      <c r="I43" s="407">
        <v>17</v>
      </c>
      <c r="J43" s="29">
        <v>1600</v>
      </c>
      <c r="K43" s="12">
        <f t="shared" si="1"/>
        <v>94.117647058823536</v>
      </c>
      <c r="L43" s="407">
        <v>17</v>
      </c>
      <c r="M43" s="13">
        <f t="shared" si="28"/>
        <v>1537.3584905660387</v>
      </c>
      <c r="N43" s="12">
        <f t="shared" si="3"/>
        <v>90.43285238623757</v>
      </c>
      <c r="O43" s="14">
        <f t="shared" si="4"/>
        <v>0</v>
      </c>
      <c r="P43" s="15">
        <f t="shared" si="5"/>
        <v>-3.6847946725859657</v>
      </c>
      <c r="Q43" s="413">
        <f t="shared" si="6"/>
        <v>0.96084905660377407</v>
      </c>
      <c r="R43" s="616"/>
      <c r="S43" s="32">
        <v>0.6</v>
      </c>
      <c r="T43" s="32">
        <v>0.67361111111111105</v>
      </c>
      <c r="U43" s="408">
        <f t="shared" si="30"/>
        <v>4.9999999999999822</v>
      </c>
      <c r="V43" s="411">
        <f t="shared" si="29"/>
        <v>105.99999999999994</v>
      </c>
      <c r="W43" s="16"/>
      <c r="X43" s="16"/>
      <c r="Y43" s="19"/>
      <c r="Z43" s="19"/>
      <c r="AA43" s="607"/>
      <c r="AB43" s="608"/>
      <c r="AC43" s="136"/>
      <c r="AD43" s="18"/>
      <c r="AE43" s="14">
        <f t="shared" si="8"/>
        <v>-62.641509433961346</v>
      </c>
      <c r="AF43" s="413">
        <f t="shared" si="9"/>
        <v>0.96084905660377418</v>
      </c>
      <c r="AG43" s="616"/>
    </row>
    <row r="44" spans="1:33">
      <c r="A44" s="630" t="s">
        <v>2132</v>
      </c>
      <c r="B44" s="28" t="s">
        <v>2131</v>
      </c>
      <c r="C44" s="658"/>
      <c r="D44" s="658"/>
      <c r="E44" s="412"/>
      <c r="F44" s="28"/>
      <c r="G44" s="12"/>
      <c r="H44" s="410"/>
      <c r="I44" s="21">
        <v>17.142857142857142</v>
      </c>
      <c r="J44" s="29">
        <v>2171.4285714285716</v>
      </c>
      <c r="K44" s="12">
        <f t="shared" si="1"/>
        <v>126.66666666666667</v>
      </c>
      <c r="L44" s="21">
        <v>17.142857142857142</v>
      </c>
      <c r="M44" s="13">
        <f>AVERAGE(M37:M43)</f>
        <v>2080.472248910793</v>
      </c>
      <c r="N44" s="12">
        <f t="shared" si="3"/>
        <v>121.36088118646293</v>
      </c>
      <c r="O44" s="14">
        <f t="shared" si="4"/>
        <v>0</v>
      </c>
      <c r="P44" s="15">
        <f t="shared" si="5"/>
        <v>-5.3057854802037383</v>
      </c>
      <c r="Q44" s="413">
        <f t="shared" si="6"/>
        <v>0.95811221989312834</v>
      </c>
      <c r="R44" s="616"/>
      <c r="S44" s="32"/>
      <c r="T44" s="32"/>
      <c r="U44" s="12"/>
      <c r="V44" s="411"/>
      <c r="W44" s="12"/>
      <c r="X44" s="12"/>
      <c r="Y44" s="22">
        <f>SUM(Y37:Y43)</f>
        <v>0</v>
      </c>
      <c r="Z44" s="22">
        <f>SUM(Z37:Z43)</f>
        <v>0</v>
      </c>
      <c r="AA44" s="611"/>
      <c r="AB44" s="611"/>
      <c r="AC44" s="22">
        <v>7</v>
      </c>
      <c r="AD44" s="22">
        <f>SUM(AD37:AD43)</f>
        <v>0</v>
      </c>
      <c r="AE44" s="14">
        <f t="shared" si="8"/>
        <v>-90.956322517778517</v>
      </c>
      <c r="AF44" s="413">
        <f t="shared" si="9"/>
        <v>0.95811221989312834</v>
      </c>
      <c r="AG44" s="616"/>
    </row>
    <row r="45" spans="1:33" ht="15.75" customHeight="1">
      <c r="A45" s="623" t="s">
        <v>2133</v>
      </c>
      <c r="B45" s="27" t="s">
        <v>27</v>
      </c>
      <c r="C45" s="605" t="s">
        <v>33</v>
      </c>
      <c r="D45" s="606"/>
      <c r="E45" s="27">
        <v>34.36</v>
      </c>
      <c r="F45" s="410">
        <v>2180</v>
      </c>
      <c r="G45" s="408">
        <f t="shared" ref="G45:G48" si="31">E45*F45</f>
        <v>74904.800000000003</v>
      </c>
      <c r="H45" s="31" t="s">
        <v>40</v>
      </c>
      <c r="I45" s="407">
        <v>10</v>
      </c>
      <c r="J45" s="29">
        <v>3000</v>
      </c>
      <c r="K45" s="12">
        <f t="shared" si="1"/>
        <v>300</v>
      </c>
      <c r="L45" s="407">
        <v>10</v>
      </c>
      <c r="M45" s="13">
        <f t="shared" ref="M45:M48" si="32">F45/V45*60</f>
        <v>2906.6666666666665</v>
      </c>
      <c r="N45" s="13">
        <f t="shared" si="3"/>
        <v>290.66666666666663</v>
      </c>
      <c r="O45" s="14">
        <f t="shared" si="4"/>
        <v>0</v>
      </c>
      <c r="P45" s="15">
        <f t="shared" si="5"/>
        <v>-9.3333333333333712</v>
      </c>
      <c r="Q45" s="413">
        <f t="shared" si="6"/>
        <v>0.9688888888888888</v>
      </c>
      <c r="R45" s="626">
        <f>Q49</f>
        <v>0.9590526779646622</v>
      </c>
      <c r="S45" s="32">
        <v>0.20833333333333334</v>
      </c>
      <c r="T45" s="32">
        <v>0.23958333333333334</v>
      </c>
      <c r="U45" s="20"/>
      <c r="V45" s="411">
        <f t="shared" ref="V45:V48" si="33">(T45-S45)*24*60</f>
        <v>45</v>
      </c>
      <c r="W45" s="16"/>
      <c r="X45" s="16"/>
      <c r="Y45" s="19"/>
      <c r="Z45" s="19"/>
      <c r="AA45" s="607"/>
      <c r="AB45" s="608"/>
      <c r="AC45" s="136">
        <v>4</v>
      </c>
      <c r="AD45" s="18"/>
      <c r="AE45" s="14">
        <f t="shared" si="8"/>
        <v>-93.333333333333485</v>
      </c>
      <c r="AF45" s="413">
        <f t="shared" si="9"/>
        <v>0.9688888888888888</v>
      </c>
      <c r="AG45" s="626">
        <f>AF49</f>
        <v>0.9590526779646622</v>
      </c>
    </row>
    <row r="46" spans="1:33" ht="15.75" customHeight="1">
      <c r="A46" s="624" t="s">
        <v>75</v>
      </c>
      <c r="B46" s="27" t="s">
        <v>27</v>
      </c>
      <c r="C46" s="605" t="s">
        <v>29</v>
      </c>
      <c r="D46" s="606"/>
      <c r="E46" s="27">
        <v>21.13</v>
      </c>
      <c r="F46" s="410">
        <v>5187</v>
      </c>
      <c r="G46" s="408">
        <f t="shared" si="31"/>
        <v>109601.31</v>
      </c>
      <c r="H46" s="31" t="s">
        <v>40</v>
      </c>
      <c r="I46" s="407">
        <v>10</v>
      </c>
      <c r="J46" s="29">
        <v>3000</v>
      </c>
      <c r="K46" s="12">
        <f t="shared" si="1"/>
        <v>300</v>
      </c>
      <c r="L46" s="407">
        <v>10</v>
      </c>
      <c r="M46" s="13">
        <f t="shared" si="32"/>
        <v>2855.229357798165</v>
      </c>
      <c r="N46" s="13">
        <f t="shared" si="3"/>
        <v>285.52293577981652</v>
      </c>
      <c r="O46" s="14">
        <f t="shared" si="4"/>
        <v>0</v>
      </c>
      <c r="P46" s="15">
        <f t="shared" si="5"/>
        <v>-14.477064220183479</v>
      </c>
      <c r="Q46" s="413">
        <f t="shared" si="6"/>
        <v>0.95174311926605504</v>
      </c>
      <c r="R46" s="627"/>
      <c r="S46" s="32">
        <v>0.24513888888888891</v>
      </c>
      <c r="T46" s="32">
        <v>0.32083333333333336</v>
      </c>
      <c r="U46" s="408">
        <f t="shared" ref="U46:U48" si="34">(S46-T45)*24*60</f>
        <v>8.0000000000000107</v>
      </c>
      <c r="V46" s="411">
        <f t="shared" si="33"/>
        <v>109.00000000000001</v>
      </c>
      <c r="W46" s="16"/>
      <c r="X46" s="16"/>
      <c r="Y46" s="19"/>
      <c r="Z46" s="19"/>
      <c r="AA46" s="607"/>
      <c r="AB46" s="608"/>
      <c r="AC46" s="136"/>
      <c r="AD46" s="18"/>
      <c r="AE46" s="14">
        <f t="shared" si="8"/>
        <v>-144.77064220183502</v>
      </c>
      <c r="AF46" s="413">
        <f t="shared" si="9"/>
        <v>0.95174311926605504</v>
      </c>
      <c r="AG46" s="627"/>
    </row>
    <row r="47" spans="1:33" ht="15.75" customHeight="1">
      <c r="A47" s="624" t="s">
        <v>75</v>
      </c>
      <c r="B47" s="27" t="s">
        <v>27</v>
      </c>
      <c r="C47" s="605" t="s">
        <v>30</v>
      </c>
      <c r="D47" s="606"/>
      <c r="E47" s="27">
        <v>27.17</v>
      </c>
      <c r="F47" s="410">
        <v>4601</v>
      </c>
      <c r="G47" s="408">
        <f t="shared" si="31"/>
        <v>125009.17000000001</v>
      </c>
      <c r="H47" s="31" t="s">
        <v>40</v>
      </c>
      <c r="I47" s="407">
        <v>10</v>
      </c>
      <c r="J47" s="29">
        <v>3000</v>
      </c>
      <c r="K47" s="12">
        <f t="shared" si="1"/>
        <v>300</v>
      </c>
      <c r="L47" s="407">
        <v>10</v>
      </c>
      <c r="M47" s="13">
        <f t="shared" si="32"/>
        <v>2875.6250000000009</v>
      </c>
      <c r="N47" s="13">
        <f t="shared" si="3"/>
        <v>287.56250000000011</v>
      </c>
      <c r="O47" s="14">
        <f t="shared" si="4"/>
        <v>0</v>
      </c>
      <c r="P47" s="15">
        <f t="shared" si="5"/>
        <v>-12.437499999999886</v>
      </c>
      <c r="Q47" s="413">
        <f t="shared" si="6"/>
        <v>0.95854166666666707</v>
      </c>
      <c r="R47" s="627"/>
      <c r="S47" s="32">
        <v>0.32430555555555557</v>
      </c>
      <c r="T47" s="32">
        <v>0.39097222222222222</v>
      </c>
      <c r="U47" s="408">
        <f t="shared" si="34"/>
        <v>4.9999999999999822</v>
      </c>
      <c r="V47" s="411">
        <f t="shared" si="33"/>
        <v>95.999999999999972</v>
      </c>
      <c r="W47" s="16"/>
      <c r="X47" s="16"/>
      <c r="Y47" s="19"/>
      <c r="Z47" s="19"/>
      <c r="AA47" s="607"/>
      <c r="AB47" s="608"/>
      <c r="AC47" s="136"/>
      <c r="AD47" s="18"/>
      <c r="AE47" s="14">
        <f t="shared" si="8"/>
        <v>-124.37499999999909</v>
      </c>
      <c r="AF47" s="413">
        <f t="shared" si="9"/>
        <v>0.95854166666666696</v>
      </c>
      <c r="AG47" s="627"/>
    </row>
    <row r="48" spans="1:33" ht="15.75" customHeight="1">
      <c r="A48" s="624" t="s">
        <v>75</v>
      </c>
      <c r="B48" s="27" t="s">
        <v>27</v>
      </c>
      <c r="C48" s="605" t="s">
        <v>35</v>
      </c>
      <c r="D48" s="606"/>
      <c r="E48" s="27">
        <v>35.869999999999997</v>
      </c>
      <c r="F48" s="410">
        <v>2584</v>
      </c>
      <c r="G48" s="408">
        <f t="shared" si="31"/>
        <v>92688.079999999987</v>
      </c>
      <c r="H48" s="31" t="s">
        <v>40</v>
      </c>
      <c r="I48" s="407">
        <v>9</v>
      </c>
      <c r="J48" s="29">
        <v>3000</v>
      </c>
      <c r="K48" s="12">
        <f t="shared" si="1"/>
        <v>333.33333333333331</v>
      </c>
      <c r="L48" s="407">
        <v>9</v>
      </c>
      <c r="M48" s="13">
        <f t="shared" si="32"/>
        <v>2871.1111111111127</v>
      </c>
      <c r="N48" s="13">
        <f t="shared" si="3"/>
        <v>319.01234567901253</v>
      </c>
      <c r="O48" s="14">
        <f t="shared" si="4"/>
        <v>0</v>
      </c>
      <c r="P48" s="15">
        <f t="shared" si="5"/>
        <v>-14.320987654320788</v>
      </c>
      <c r="Q48" s="413">
        <f t="shared" si="6"/>
        <v>0.95703703703703769</v>
      </c>
      <c r="R48" s="627"/>
      <c r="S48" s="32">
        <v>0.39652777777777776</v>
      </c>
      <c r="T48" s="32">
        <v>0.43402777777777773</v>
      </c>
      <c r="U48" s="408">
        <f t="shared" si="34"/>
        <v>7.9999999999999716</v>
      </c>
      <c r="V48" s="411">
        <f t="shared" si="33"/>
        <v>53.999999999999972</v>
      </c>
      <c r="W48" s="16"/>
      <c r="X48" s="16"/>
      <c r="Y48" s="19"/>
      <c r="Z48" s="19"/>
      <c r="AA48" s="607"/>
      <c r="AB48" s="608"/>
      <c r="AC48" s="136"/>
      <c r="AD48" s="18"/>
      <c r="AE48" s="14">
        <f t="shared" si="8"/>
        <v>-128.88888888888732</v>
      </c>
      <c r="AF48" s="413">
        <f t="shared" si="9"/>
        <v>0.95703703703703757</v>
      </c>
      <c r="AG48" s="627"/>
    </row>
    <row r="49" spans="1:33" ht="15.75" customHeight="1">
      <c r="A49" s="625" t="s">
        <v>2133</v>
      </c>
      <c r="B49" s="27" t="s">
        <v>70</v>
      </c>
      <c r="C49" s="609"/>
      <c r="D49" s="610"/>
      <c r="E49" s="420"/>
      <c r="F49" s="410"/>
      <c r="G49" s="408"/>
      <c r="H49" s="410"/>
      <c r="I49" s="21">
        <v>9.75</v>
      </c>
      <c r="J49" s="29">
        <v>3000</v>
      </c>
      <c r="K49" s="12">
        <f t="shared" si="1"/>
        <v>307.69230769230768</v>
      </c>
      <c r="L49" s="21">
        <v>9.75</v>
      </c>
      <c r="M49" s="13">
        <f>AVERAGE(M45:M48)</f>
        <v>2877.1580338939866</v>
      </c>
      <c r="N49" s="12">
        <f t="shared" si="3"/>
        <v>295.0931316814345</v>
      </c>
      <c r="O49" s="14">
        <f t="shared" si="4"/>
        <v>0</v>
      </c>
      <c r="P49" s="15">
        <f t="shared" si="5"/>
        <v>-12.59917601087318</v>
      </c>
      <c r="Q49" s="413">
        <f t="shared" si="6"/>
        <v>0.9590526779646622</v>
      </c>
      <c r="R49" s="628"/>
      <c r="S49" s="32"/>
      <c r="T49" s="32"/>
      <c r="U49" s="408"/>
      <c r="V49" s="411"/>
      <c r="W49" s="16"/>
      <c r="X49" s="16"/>
      <c r="Y49" s="22">
        <f>SUM(Y45:Y48)</f>
        <v>0</v>
      </c>
      <c r="Z49" s="22">
        <f>SUM(Z45:Z48)</f>
        <v>0</v>
      </c>
      <c r="AA49" s="619"/>
      <c r="AB49" s="620"/>
      <c r="AC49" s="22">
        <v>4</v>
      </c>
      <c r="AD49" s="22">
        <f>SUM(AD45:AD48)</f>
        <v>0</v>
      </c>
      <c r="AE49" s="14">
        <f t="shared" si="8"/>
        <v>-122.84196610601339</v>
      </c>
      <c r="AF49" s="413">
        <f t="shared" si="9"/>
        <v>0.9590526779646622</v>
      </c>
      <c r="AG49" s="628"/>
    </row>
    <row r="50" spans="1:33" ht="15.75" customHeight="1">
      <c r="A50" s="621" t="s">
        <v>2134</v>
      </c>
      <c r="B50" s="27" t="s">
        <v>5</v>
      </c>
      <c r="C50" s="660" t="s">
        <v>15</v>
      </c>
      <c r="D50" s="660"/>
      <c r="E50" s="27">
        <v>59.04</v>
      </c>
      <c r="F50" s="30">
        <v>1915</v>
      </c>
      <c r="G50" s="408">
        <f t="shared" ref="G50:G57" si="35">E50*F50</f>
        <v>113061.59999999999</v>
      </c>
      <c r="H50" s="31" t="s">
        <v>40</v>
      </c>
      <c r="I50" s="407">
        <v>19</v>
      </c>
      <c r="J50" s="29">
        <v>2000</v>
      </c>
      <c r="K50" s="12">
        <f t="shared" si="1"/>
        <v>105.26315789473684</v>
      </c>
      <c r="L50" s="407">
        <v>19</v>
      </c>
      <c r="M50" s="13">
        <f t="shared" ref="M50" si="36">F50/V50*60</f>
        <v>1915.0000000000005</v>
      </c>
      <c r="N50" s="13">
        <f t="shared" si="3"/>
        <v>100.78947368421055</v>
      </c>
      <c r="O50" s="14">
        <f t="shared" si="4"/>
        <v>0</v>
      </c>
      <c r="P50" s="15">
        <f t="shared" si="5"/>
        <v>-4.4736842105262866</v>
      </c>
      <c r="Q50" s="413">
        <f t="shared" si="6"/>
        <v>0.95750000000000024</v>
      </c>
      <c r="R50" s="616">
        <f>Q58</f>
        <v>0.96174336802554272</v>
      </c>
      <c r="S50" s="32">
        <v>0.20833333333333334</v>
      </c>
      <c r="T50" s="32">
        <v>0.25</v>
      </c>
      <c r="U50" s="20"/>
      <c r="V50" s="411">
        <f t="shared" ref="V50:V57" si="37">(T50-S50)*24*60</f>
        <v>59.999999999999986</v>
      </c>
      <c r="W50" s="16"/>
      <c r="X50" s="16"/>
      <c r="Y50" s="20"/>
      <c r="Z50" s="20"/>
      <c r="AA50" s="612"/>
      <c r="AB50" s="612"/>
      <c r="AC50" s="136">
        <v>8</v>
      </c>
      <c r="AD50" s="18"/>
      <c r="AE50" s="14">
        <f t="shared" si="8"/>
        <v>-84.999999999999545</v>
      </c>
      <c r="AF50" s="413">
        <f t="shared" si="9"/>
        <v>0.95750000000000024</v>
      </c>
      <c r="AG50" s="616">
        <f>AF58</f>
        <v>0.96174336802554272</v>
      </c>
    </row>
    <row r="51" spans="1:33" ht="15.75" customHeight="1">
      <c r="A51" s="621" t="s">
        <v>2134</v>
      </c>
      <c r="B51" s="27" t="s">
        <v>5</v>
      </c>
      <c r="C51" s="660" t="s">
        <v>31</v>
      </c>
      <c r="D51" s="660"/>
      <c r="E51" s="27">
        <v>56.43</v>
      </c>
      <c r="F51" s="30">
        <v>1247</v>
      </c>
      <c r="G51" s="408">
        <f t="shared" si="35"/>
        <v>70368.210000000006</v>
      </c>
      <c r="H51" s="31" t="s">
        <v>40</v>
      </c>
      <c r="I51" s="407">
        <v>22</v>
      </c>
      <c r="J51" s="29">
        <v>2000</v>
      </c>
      <c r="K51" s="12">
        <f t="shared" si="1"/>
        <v>90.909090909090907</v>
      </c>
      <c r="L51" s="407">
        <v>22</v>
      </c>
      <c r="M51" s="13">
        <f>F51/V51*60</f>
        <v>1918.4615384615374</v>
      </c>
      <c r="N51" s="13">
        <f t="shared" si="3"/>
        <v>87.202797202797157</v>
      </c>
      <c r="O51" s="14">
        <f t="shared" si="4"/>
        <v>0</v>
      </c>
      <c r="P51" s="15">
        <f t="shared" si="5"/>
        <v>-3.7062937062937493</v>
      </c>
      <c r="Q51" s="413">
        <f t="shared" si="6"/>
        <v>0.95923076923076878</v>
      </c>
      <c r="R51" s="616"/>
      <c r="S51" s="32">
        <v>0.25555555555555554</v>
      </c>
      <c r="T51" s="32">
        <v>0.28263888888888888</v>
      </c>
      <c r="U51" s="408">
        <f t="shared" ref="U51:U57" si="38">IF(S51=TIME(17,0,0),"",(S51-T50)*24*60)</f>
        <v>7.9999999999999716</v>
      </c>
      <c r="V51" s="411">
        <f t="shared" si="37"/>
        <v>39.000000000000021</v>
      </c>
      <c r="W51" s="16"/>
      <c r="X51" s="16"/>
      <c r="Y51" s="16"/>
      <c r="Z51" s="16"/>
      <c r="AA51" s="612"/>
      <c r="AB51" s="612"/>
      <c r="AC51" s="136"/>
      <c r="AD51" s="18"/>
      <c r="AE51" s="14">
        <f t="shared" si="8"/>
        <v>-81.53846153846257</v>
      </c>
      <c r="AF51" s="413">
        <f t="shared" si="9"/>
        <v>0.95923076923076867</v>
      </c>
      <c r="AG51" s="616"/>
    </row>
    <row r="52" spans="1:33" ht="15.75" customHeight="1">
      <c r="A52" s="621" t="s">
        <v>2134</v>
      </c>
      <c r="B52" s="27" t="s">
        <v>5</v>
      </c>
      <c r="C52" s="605" t="s">
        <v>81</v>
      </c>
      <c r="D52" s="606"/>
      <c r="E52" s="27">
        <v>51.44</v>
      </c>
      <c r="F52" s="30">
        <v>1805</v>
      </c>
      <c r="G52" s="408">
        <f t="shared" si="35"/>
        <v>92849.2</v>
      </c>
      <c r="H52" s="31" t="s">
        <v>40</v>
      </c>
      <c r="I52" s="407">
        <v>25</v>
      </c>
      <c r="J52" s="29">
        <v>2000</v>
      </c>
      <c r="K52" s="12">
        <f t="shared" si="1"/>
        <v>80</v>
      </c>
      <c r="L52" s="407">
        <v>25</v>
      </c>
      <c r="M52" s="13">
        <f t="shared" ref="M52:M57" si="39">F52/V52*60</f>
        <v>1900.0000000000014</v>
      </c>
      <c r="N52" s="13">
        <f t="shared" si="3"/>
        <v>76.000000000000057</v>
      </c>
      <c r="O52" s="14">
        <f t="shared" si="4"/>
        <v>0</v>
      </c>
      <c r="P52" s="15">
        <f t="shared" si="5"/>
        <v>-3.9999999999999432</v>
      </c>
      <c r="Q52" s="413">
        <f t="shared" si="6"/>
        <v>0.95000000000000073</v>
      </c>
      <c r="R52" s="616"/>
      <c r="S52" s="32">
        <v>0.28819444444444442</v>
      </c>
      <c r="T52" s="32">
        <v>0.32777777777777772</v>
      </c>
      <c r="U52" s="408">
        <f t="shared" si="38"/>
        <v>7.9999999999999716</v>
      </c>
      <c r="V52" s="411">
        <f t="shared" si="37"/>
        <v>56.999999999999957</v>
      </c>
      <c r="W52" s="16"/>
      <c r="X52" s="16"/>
      <c r="Y52" s="19"/>
      <c r="Z52" s="19"/>
      <c r="AA52" s="612"/>
      <c r="AB52" s="612"/>
      <c r="AC52" s="136"/>
      <c r="AD52" s="18"/>
      <c r="AE52" s="14">
        <f t="shared" si="8"/>
        <v>-99.999999999998636</v>
      </c>
      <c r="AF52" s="413">
        <f t="shared" si="9"/>
        <v>0.95000000000000073</v>
      </c>
      <c r="AG52" s="616"/>
    </row>
    <row r="53" spans="1:33" ht="15.75" customHeight="1">
      <c r="A53" s="621" t="s">
        <v>71</v>
      </c>
      <c r="B53" s="27" t="s">
        <v>8</v>
      </c>
      <c r="C53" s="418" t="s">
        <v>61</v>
      </c>
      <c r="D53" s="419"/>
      <c r="E53" s="27">
        <v>46</v>
      </c>
      <c r="F53" s="30">
        <v>1827</v>
      </c>
      <c r="G53" s="408">
        <f t="shared" si="35"/>
        <v>84042</v>
      </c>
      <c r="H53" s="31" t="s">
        <v>40</v>
      </c>
      <c r="I53" s="407">
        <v>16</v>
      </c>
      <c r="J53" s="29">
        <v>2000</v>
      </c>
      <c r="K53" s="12">
        <f t="shared" si="1"/>
        <v>125</v>
      </c>
      <c r="L53" s="407">
        <v>16</v>
      </c>
      <c r="M53" s="13">
        <f t="shared" si="39"/>
        <v>1923.1578947368434</v>
      </c>
      <c r="N53" s="13">
        <f t="shared" si="3"/>
        <v>120.19736842105272</v>
      </c>
      <c r="O53" s="14">
        <f t="shared" si="4"/>
        <v>0</v>
      </c>
      <c r="P53" s="15">
        <f t="shared" si="5"/>
        <v>-4.8026315789472847</v>
      </c>
      <c r="Q53" s="413">
        <f t="shared" si="6"/>
        <v>0.96157894736842175</v>
      </c>
      <c r="R53" s="616"/>
      <c r="S53" s="32">
        <v>0.33124999999999993</v>
      </c>
      <c r="T53" s="32">
        <v>0.37083333333333324</v>
      </c>
      <c r="U53" s="408">
        <f t="shared" si="38"/>
        <v>4.9999999999999822</v>
      </c>
      <c r="V53" s="411">
        <f t="shared" si="37"/>
        <v>56.999999999999957</v>
      </c>
      <c r="W53" s="16"/>
      <c r="X53" s="16"/>
      <c r="Y53" s="19"/>
      <c r="Z53" s="19"/>
      <c r="AA53" s="612"/>
      <c r="AB53" s="612"/>
      <c r="AC53" s="136"/>
      <c r="AD53" s="18"/>
      <c r="AE53" s="14">
        <f t="shared" si="8"/>
        <v>-76.842105263156554</v>
      </c>
      <c r="AF53" s="413">
        <f t="shared" si="9"/>
        <v>0.96157894736842175</v>
      </c>
      <c r="AG53" s="616"/>
    </row>
    <row r="54" spans="1:33" ht="15.75" customHeight="1">
      <c r="A54" s="621" t="s">
        <v>71</v>
      </c>
      <c r="B54" s="27" t="s">
        <v>8</v>
      </c>
      <c r="C54" s="418" t="s">
        <v>79</v>
      </c>
      <c r="D54" s="419"/>
      <c r="E54" s="27">
        <v>46</v>
      </c>
      <c r="F54" s="30">
        <v>2330</v>
      </c>
      <c r="G54" s="408">
        <f t="shared" si="35"/>
        <v>107180</v>
      </c>
      <c r="H54" s="31" t="s">
        <v>40</v>
      </c>
      <c r="I54" s="407">
        <v>17</v>
      </c>
      <c r="J54" s="29">
        <v>2000</v>
      </c>
      <c r="K54" s="12">
        <f t="shared" si="1"/>
        <v>117.64705882352941</v>
      </c>
      <c r="L54" s="407">
        <v>17</v>
      </c>
      <c r="M54" s="13">
        <f t="shared" si="39"/>
        <v>1915.0684931506853</v>
      </c>
      <c r="N54" s="13">
        <f t="shared" si="3"/>
        <v>112.65108783239326</v>
      </c>
      <c r="O54" s="14">
        <f t="shared" si="4"/>
        <v>0</v>
      </c>
      <c r="P54" s="15">
        <f t="shared" si="5"/>
        <v>-4.9959709911361472</v>
      </c>
      <c r="Q54" s="413">
        <f t="shared" si="6"/>
        <v>0.9575342465753427</v>
      </c>
      <c r="R54" s="616"/>
      <c r="S54" s="32">
        <v>0.37430555555555545</v>
      </c>
      <c r="T54" s="32">
        <v>0.42499999999999988</v>
      </c>
      <c r="U54" s="408">
        <f t="shared" si="38"/>
        <v>4.9999999999999822</v>
      </c>
      <c r="V54" s="411">
        <f t="shared" si="37"/>
        <v>72.999999999999986</v>
      </c>
      <c r="W54" s="16"/>
      <c r="X54" s="16"/>
      <c r="Y54" s="19"/>
      <c r="Z54" s="19"/>
      <c r="AA54" s="612"/>
      <c r="AB54" s="612"/>
      <c r="AC54" s="136"/>
      <c r="AD54" s="18"/>
      <c r="AE54" s="14">
        <f t="shared" si="8"/>
        <v>-84.931506849314701</v>
      </c>
      <c r="AF54" s="413">
        <f t="shared" si="9"/>
        <v>0.9575342465753427</v>
      </c>
      <c r="AG54" s="616"/>
    </row>
    <row r="55" spans="1:33" ht="15.75" customHeight="1">
      <c r="A55" s="621" t="s">
        <v>71</v>
      </c>
      <c r="B55" s="27" t="s">
        <v>5</v>
      </c>
      <c r="C55" s="605" t="s">
        <v>77</v>
      </c>
      <c r="D55" s="606"/>
      <c r="E55" s="27">
        <v>54.09</v>
      </c>
      <c r="F55" s="30">
        <v>886</v>
      </c>
      <c r="G55" s="408">
        <f t="shared" si="35"/>
        <v>47923.740000000005</v>
      </c>
      <c r="H55" s="31" t="s">
        <v>40</v>
      </c>
      <c r="I55" s="407">
        <v>13</v>
      </c>
      <c r="J55" s="29">
        <v>2000</v>
      </c>
      <c r="K55" s="12">
        <f t="shared" si="1"/>
        <v>153.84615384615384</v>
      </c>
      <c r="L55" s="407">
        <v>13</v>
      </c>
      <c r="M55" s="13">
        <f t="shared" si="39"/>
        <v>1968.8888888888844</v>
      </c>
      <c r="N55" s="13">
        <f t="shared" si="3"/>
        <v>151.45299145299111</v>
      </c>
      <c r="O55" s="14">
        <f t="shared" si="4"/>
        <v>0</v>
      </c>
      <c r="P55" s="15">
        <f t="shared" si="5"/>
        <v>-2.3931623931627257</v>
      </c>
      <c r="Q55" s="413">
        <f t="shared" si="6"/>
        <v>0.98444444444444223</v>
      </c>
      <c r="R55" s="616"/>
      <c r="S55" s="32">
        <v>0.70833333333333337</v>
      </c>
      <c r="T55" s="32">
        <v>0.72708333333333341</v>
      </c>
      <c r="U55" s="408" t="str">
        <f t="shared" si="38"/>
        <v/>
      </c>
      <c r="V55" s="411">
        <f t="shared" si="37"/>
        <v>27.000000000000064</v>
      </c>
      <c r="W55" s="16"/>
      <c r="X55" s="16"/>
      <c r="Y55" s="19"/>
      <c r="Z55" s="19"/>
      <c r="AA55" s="607"/>
      <c r="AB55" s="608"/>
      <c r="AC55" s="136"/>
      <c r="AD55" s="18"/>
      <c r="AE55" s="14">
        <f t="shared" si="8"/>
        <v>-31.111111111115633</v>
      </c>
      <c r="AF55" s="413">
        <f t="shared" si="9"/>
        <v>0.98444444444444223</v>
      </c>
      <c r="AG55" s="616"/>
    </row>
    <row r="56" spans="1:33" ht="15.75" customHeight="1">
      <c r="A56" s="621" t="s">
        <v>2134</v>
      </c>
      <c r="B56" s="27" t="s">
        <v>5</v>
      </c>
      <c r="C56" s="605" t="s">
        <v>7</v>
      </c>
      <c r="D56" s="606"/>
      <c r="E56" s="27">
        <v>50.67</v>
      </c>
      <c r="F56" s="30">
        <v>1317</v>
      </c>
      <c r="G56" s="408">
        <f t="shared" si="35"/>
        <v>66732.39</v>
      </c>
      <c r="H56" s="31" t="s">
        <v>40</v>
      </c>
      <c r="I56" s="407">
        <v>15</v>
      </c>
      <c r="J56" s="29">
        <v>2000</v>
      </c>
      <c r="K56" s="12">
        <f t="shared" si="1"/>
        <v>133.33333333333334</v>
      </c>
      <c r="L56" s="407">
        <v>15</v>
      </c>
      <c r="M56" s="13">
        <f t="shared" si="39"/>
        <v>1927.317073170731</v>
      </c>
      <c r="N56" s="13">
        <f t="shared" si="3"/>
        <v>128.48780487804873</v>
      </c>
      <c r="O56" s="14">
        <f t="shared" si="4"/>
        <v>0</v>
      </c>
      <c r="P56" s="15">
        <f t="shared" si="5"/>
        <v>-4.8455284552846081</v>
      </c>
      <c r="Q56" s="413">
        <f t="shared" si="6"/>
        <v>0.96365853658536549</v>
      </c>
      <c r="R56" s="616"/>
      <c r="S56" s="32">
        <v>0.73125000000000007</v>
      </c>
      <c r="T56" s="32">
        <v>0.7597222222222223</v>
      </c>
      <c r="U56" s="408">
        <f t="shared" si="38"/>
        <v>5.9999999999999787</v>
      </c>
      <c r="V56" s="411">
        <f t="shared" si="37"/>
        <v>41.000000000000014</v>
      </c>
      <c r="W56" s="16"/>
      <c r="X56" s="16"/>
      <c r="Y56" s="19"/>
      <c r="Z56" s="19"/>
      <c r="AA56" s="607"/>
      <c r="AB56" s="608"/>
      <c r="AC56" s="136"/>
      <c r="AD56" s="18"/>
      <c r="AE56" s="14">
        <f t="shared" si="8"/>
        <v>-72.682926829269036</v>
      </c>
      <c r="AF56" s="413">
        <f t="shared" si="9"/>
        <v>0.96365853658536549</v>
      </c>
      <c r="AG56" s="616"/>
    </row>
    <row r="57" spans="1:33" ht="15.75" customHeight="1">
      <c r="A57" s="621" t="s">
        <v>71</v>
      </c>
      <c r="B57" s="27" t="s">
        <v>5</v>
      </c>
      <c r="C57" s="605" t="s">
        <v>62</v>
      </c>
      <c r="D57" s="606"/>
      <c r="E57" s="27">
        <v>51.06</v>
      </c>
      <c r="F57" s="30">
        <v>3040</v>
      </c>
      <c r="G57" s="408">
        <f t="shared" si="35"/>
        <v>155222.39999999999</v>
      </c>
      <c r="H57" s="31" t="s">
        <v>40</v>
      </c>
      <c r="I57" s="407">
        <v>13</v>
      </c>
      <c r="J57" s="29">
        <v>2000</v>
      </c>
      <c r="K57" s="12">
        <f t="shared" si="1"/>
        <v>153.84615384615384</v>
      </c>
      <c r="L57" s="407">
        <v>13</v>
      </c>
      <c r="M57" s="13">
        <f t="shared" si="39"/>
        <v>1920.0000000000005</v>
      </c>
      <c r="N57" s="13">
        <f t="shared" si="3"/>
        <v>147.69230769230774</v>
      </c>
      <c r="O57" s="14">
        <f t="shared" si="4"/>
        <v>0</v>
      </c>
      <c r="P57" s="15">
        <f t="shared" si="5"/>
        <v>-6.1538461538461036</v>
      </c>
      <c r="Q57" s="413">
        <f t="shared" si="6"/>
        <v>0.9600000000000003</v>
      </c>
      <c r="R57" s="616"/>
      <c r="S57" s="32">
        <v>0.76388888888888895</v>
      </c>
      <c r="T57" s="32">
        <v>0.82986111111111116</v>
      </c>
      <c r="U57" s="408">
        <f t="shared" si="38"/>
        <v>5.9999999999999787</v>
      </c>
      <c r="V57" s="411">
        <f t="shared" si="37"/>
        <v>94.999999999999986</v>
      </c>
      <c r="W57" s="16"/>
      <c r="X57" s="16"/>
      <c r="Y57" s="19"/>
      <c r="Z57" s="19"/>
      <c r="AA57" s="607"/>
      <c r="AB57" s="608"/>
      <c r="AC57" s="136"/>
      <c r="AD57" s="18"/>
      <c r="AE57" s="14">
        <f t="shared" si="8"/>
        <v>-79.999999999999545</v>
      </c>
      <c r="AF57" s="413">
        <f t="shared" si="9"/>
        <v>0.96000000000000019</v>
      </c>
      <c r="AG57" s="616"/>
    </row>
    <row r="58" spans="1:33">
      <c r="A58" s="622" t="s">
        <v>71</v>
      </c>
      <c r="B58" s="27" t="s">
        <v>70</v>
      </c>
      <c r="C58" s="658"/>
      <c r="D58" s="658"/>
      <c r="E58" s="412"/>
      <c r="F58" s="28"/>
      <c r="G58" s="12"/>
      <c r="H58" s="410"/>
      <c r="I58" s="21">
        <v>17.5</v>
      </c>
      <c r="J58" s="29">
        <v>2000</v>
      </c>
      <c r="K58" s="12">
        <f t="shared" si="1"/>
        <v>114.28571428571429</v>
      </c>
      <c r="L58" s="21">
        <v>17.5</v>
      </c>
      <c r="M58" s="13">
        <f>AVERAGE(M50:M57)</f>
        <v>1923.4867360510855</v>
      </c>
      <c r="N58" s="12">
        <f t="shared" si="3"/>
        <v>109.91352777434774</v>
      </c>
      <c r="O58" s="14">
        <f t="shared" si="4"/>
        <v>0</v>
      </c>
      <c r="P58" s="15">
        <f t="shared" si="5"/>
        <v>-4.3721865113665501</v>
      </c>
      <c r="Q58" s="413">
        <f t="shared" si="6"/>
        <v>0.96174336802554272</v>
      </c>
      <c r="R58" s="616"/>
      <c r="S58" s="32"/>
      <c r="T58" s="32"/>
      <c r="U58" s="408"/>
      <c r="V58" s="411"/>
      <c r="W58" s="12"/>
      <c r="X58" s="12"/>
      <c r="Y58" s="22">
        <f>SUM(Y50:Y57)</f>
        <v>0</v>
      </c>
      <c r="Z58" s="22">
        <f>SUM(Z50:Z57)</f>
        <v>0</v>
      </c>
      <c r="AA58" s="611"/>
      <c r="AB58" s="611"/>
      <c r="AC58" s="22">
        <v>8</v>
      </c>
      <c r="AD58" s="22">
        <f>SUM(AD50:AD57)</f>
        <v>0</v>
      </c>
      <c r="AE58" s="14">
        <f>M58-J58</f>
        <v>-76.513263948914528</v>
      </c>
      <c r="AF58" s="413">
        <f t="shared" si="9"/>
        <v>0.96174336802554272</v>
      </c>
      <c r="AG58" s="616"/>
    </row>
    <row r="59" spans="1:33" ht="15.75" customHeight="1">
      <c r="A59" s="617" t="s">
        <v>2135</v>
      </c>
      <c r="B59" s="410" t="s">
        <v>27</v>
      </c>
      <c r="C59" s="660" t="s">
        <v>28</v>
      </c>
      <c r="D59" s="660"/>
      <c r="E59" s="27">
        <v>35.119999999999997</v>
      </c>
      <c r="F59" s="30">
        <v>4098</v>
      </c>
      <c r="G59" s="408">
        <f t="shared" ref="G59:G62" si="40">E59*F59</f>
        <v>143921.75999999998</v>
      </c>
      <c r="H59" s="31" t="s">
        <v>40</v>
      </c>
      <c r="I59" s="407">
        <v>10</v>
      </c>
      <c r="J59" s="29">
        <v>3000</v>
      </c>
      <c r="K59" s="12">
        <f t="shared" si="1"/>
        <v>300</v>
      </c>
      <c r="L59" s="407">
        <v>10</v>
      </c>
      <c r="M59" s="13">
        <f t="shared" ref="M59:M62" si="41">F59/V59*60</f>
        <v>2859.0697674418616</v>
      </c>
      <c r="N59" s="12">
        <f t="shared" si="3"/>
        <v>285.90697674418618</v>
      </c>
      <c r="O59" s="14">
        <f t="shared" si="4"/>
        <v>0</v>
      </c>
      <c r="P59" s="15">
        <f t="shared" si="5"/>
        <v>-14.093023255813819</v>
      </c>
      <c r="Q59" s="413">
        <f t="shared" si="6"/>
        <v>0.95302325581395397</v>
      </c>
      <c r="R59" s="616">
        <f>Q63</f>
        <v>0.95912135340598459</v>
      </c>
      <c r="S59" s="32">
        <v>0.20833333333333334</v>
      </c>
      <c r="T59" s="32">
        <v>0.26805555555555555</v>
      </c>
      <c r="U59" s="408"/>
      <c r="V59" s="411">
        <f t="shared" ref="V59:V62" si="42">(T59-S59)*24*60</f>
        <v>85.999999999999972</v>
      </c>
      <c r="W59" s="16"/>
      <c r="X59" s="16"/>
      <c r="Y59" s="20"/>
      <c r="Z59" s="20"/>
      <c r="AA59" s="612"/>
      <c r="AB59" s="612"/>
      <c r="AC59" s="136">
        <v>4</v>
      </c>
      <c r="AD59" s="18"/>
      <c r="AE59" s="14">
        <f t="shared" ref="AE59:AE71" si="43">M59-J59</f>
        <v>-140.93023255813841</v>
      </c>
      <c r="AF59" s="413">
        <f t="shared" si="9"/>
        <v>0.95302325581395386</v>
      </c>
      <c r="AG59" s="616">
        <f>AF63</f>
        <v>0.95912135340598459</v>
      </c>
    </row>
    <row r="60" spans="1:33" ht="15.75" customHeight="1">
      <c r="A60" s="617" t="s">
        <v>72</v>
      </c>
      <c r="B60" s="410" t="s">
        <v>27</v>
      </c>
      <c r="C60" s="660" t="s">
        <v>34</v>
      </c>
      <c r="D60" s="660"/>
      <c r="E60" s="27">
        <v>26.78</v>
      </c>
      <c r="F60" s="30">
        <v>2599</v>
      </c>
      <c r="G60" s="408">
        <f t="shared" si="40"/>
        <v>69601.22</v>
      </c>
      <c r="H60" s="31" t="s">
        <v>40</v>
      </c>
      <c r="I60" s="407">
        <v>10</v>
      </c>
      <c r="J60" s="29">
        <v>3000</v>
      </c>
      <c r="K60" s="12">
        <f t="shared" si="1"/>
        <v>300</v>
      </c>
      <c r="L60" s="407">
        <v>10</v>
      </c>
      <c r="M60" s="13">
        <f t="shared" si="41"/>
        <v>2887.7777777777792</v>
      </c>
      <c r="N60" s="12">
        <f t="shared" si="3"/>
        <v>288.77777777777794</v>
      </c>
      <c r="O60" s="14">
        <f t="shared" si="4"/>
        <v>0</v>
      </c>
      <c r="P60" s="15">
        <f t="shared" si="5"/>
        <v>-11.222222222222058</v>
      </c>
      <c r="Q60" s="413">
        <f t="shared" si="6"/>
        <v>0.96259259259259311</v>
      </c>
      <c r="R60" s="616"/>
      <c r="S60" s="32">
        <v>0.2722222222222222</v>
      </c>
      <c r="T60" s="32">
        <v>0.30972222222222218</v>
      </c>
      <c r="U60" s="408">
        <f t="shared" ref="U60:U62" si="44">(S60-T59)*24*60</f>
        <v>5.9999999999999787</v>
      </c>
      <c r="V60" s="411">
        <f t="shared" si="42"/>
        <v>53.999999999999972</v>
      </c>
      <c r="W60" s="408"/>
      <c r="X60" s="408"/>
      <c r="Y60" s="408"/>
      <c r="Z60" s="408"/>
      <c r="AA60" s="612"/>
      <c r="AB60" s="612"/>
      <c r="AC60" s="136"/>
      <c r="AD60" s="18"/>
      <c r="AE60" s="14">
        <f t="shared" si="43"/>
        <v>-112.22222222222081</v>
      </c>
      <c r="AF60" s="413">
        <f t="shared" si="9"/>
        <v>0.96259259259259311</v>
      </c>
      <c r="AG60" s="616"/>
    </row>
    <row r="61" spans="1:33" ht="15.75" customHeight="1">
      <c r="A61" s="617" t="s">
        <v>2135</v>
      </c>
      <c r="B61" s="410" t="s">
        <v>27</v>
      </c>
      <c r="C61" s="660" t="s">
        <v>36</v>
      </c>
      <c r="D61" s="660"/>
      <c r="E61" s="27">
        <v>34.35</v>
      </c>
      <c r="F61" s="30">
        <v>1105</v>
      </c>
      <c r="G61" s="408">
        <f t="shared" si="40"/>
        <v>37956.75</v>
      </c>
      <c r="H61" s="31" t="s">
        <v>40</v>
      </c>
      <c r="I61" s="407">
        <v>8</v>
      </c>
      <c r="J61" s="29">
        <v>3000</v>
      </c>
      <c r="K61" s="12">
        <f t="shared" si="1"/>
        <v>375</v>
      </c>
      <c r="L61" s="407">
        <v>8</v>
      </c>
      <c r="M61" s="13">
        <f t="shared" si="41"/>
        <v>2882.608695652174</v>
      </c>
      <c r="N61" s="12">
        <f t="shared" si="3"/>
        <v>360.32608695652175</v>
      </c>
      <c r="O61" s="14">
        <f t="shared" si="4"/>
        <v>0</v>
      </c>
      <c r="P61" s="15">
        <f t="shared" si="5"/>
        <v>-14.673913043478251</v>
      </c>
      <c r="Q61" s="413">
        <f t="shared" si="6"/>
        <v>0.96086956521739131</v>
      </c>
      <c r="R61" s="616"/>
      <c r="S61" s="32">
        <v>0.31388888888888883</v>
      </c>
      <c r="T61" s="32">
        <v>0.32986111111111105</v>
      </c>
      <c r="U61" s="408">
        <f t="shared" si="44"/>
        <v>5.9999999999999787</v>
      </c>
      <c r="V61" s="411">
        <f t="shared" si="42"/>
        <v>23</v>
      </c>
      <c r="W61" s="408"/>
      <c r="X61" s="408"/>
      <c r="Y61" s="408"/>
      <c r="Z61" s="408"/>
      <c r="AA61" s="612"/>
      <c r="AB61" s="612"/>
      <c r="AC61" s="136"/>
      <c r="AD61" s="18"/>
      <c r="AE61" s="14">
        <f t="shared" si="43"/>
        <v>-117.39130434782601</v>
      </c>
      <c r="AF61" s="413">
        <f t="shared" si="9"/>
        <v>0.96086956521739131</v>
      </c>
      <c r="AG61" s="616"/>
    </row>
    <row r="62" spans="1:33" ht="15.75" customHeight="1">
      <c r="A62" s="617" t="s">
        <v>2135</v>
      </c>
      <c r="B62" s="410" t="s">
        <v>27</v>
      </c>
      <c r="C62" s="660" t="s">
        <v>737</v>
      </c>
      <c r="D62" s="660"/>
      <c r="E62" s="27">
        <v>36.14</v>
      </c>
      <c r="F62" s="30">
        <v>2208</v>
      </c>
      <c r="G62" s="408">
        <f t="shared" si="40"/>
        <v>79797.119999999995</v>
      </c>
      <c r="H62" s="31" t="s">
        <v>40</v>
      </c>
      <c r="I62" s="407">
        <v>11</v>
      </c>
      <c r="J62" s="29">
        <v>3000</v>
      </c>
      <c r="K62" s="12">
        <f t="shared" si="1"/>
        <v>272.72727272727275</v>
      </c>
      <c r="L62" s="407">
        <v>11</v>
      </c>
      <c r="M62" s="13">
        <f t="shared" si="41"/>
        <v>2880</v>
      </c>
      <c r="N62" s="12">
        <f t="shared" si="3"/>
        <v>261.81818181818181</v>
      </c>
      <c r="O62" s="14">
        <f t="shared" si="4"/>
        <v>0</v>
      </c>
      <c r="P62" s="15">
        <f t="shared" si="5"/>
        <v>-10.909090909090935</v>
      </c>
      <c r="Q62" s="413">
        <f t="shared" si="6"/>
        <v>0.95999999999999985</v>
      </c>
      <c r="R62" s="616"/>
      <c r="S62" s="32">
        <v>0.33472222222222214</v>
      </c>
      <c r="T62" s="32">
        <v>0.36666666666666659</v>
      </c>
      <c r="U62" s="408">
        <f t="shared" si="44"/>
        <v>6.9999999999999751</v>
      </c>
      <c r="V62" s="411">
        <f t="shared" si="42"/>
        <v>46</v>
      </c>
      <c r="W62" s="408"/>
      <c r="X62" s="408"/>
      <c r="Y62" s="408"/>
      <c r="Z62" s="408"/>
      <c r="AA62" s="612"/>
      <c r="AB62" s="612"/>
      <c r="AC62" s="136"/>
      <c r="AD62" s="18"/>
      <c r="AE62" s="14">
        <f t="shared" si="43"/>
        <v>-120</v>
      </c>
      <c r="AF62" s="413">
        <f t="shared" si="9"/>
        <v>0.96</v>
      </c>
      <c r="AG62" s="616"/>
    </row>
    <row r="63" spans="1:33">
      <c r="A63" s="618" t="s">
        <v>2135</v>
      </c>
      <c r="B63" s="27" t="s">
        <v>70</v>
      </c>
      <c r="C63" s="658"/>
      <c r="D63" s="658"/>
      <c r="E63" s="412"/>
      <c r="F63" s="28"/>
      <c r="G63" s="12"/>
      <c r="H63" s="410"/>
      <c r="I63" s="21">
        <v>9.75</v>
      </c>
      <c r="J63" s="29">
        <v>3000</v>
      </c>
      <c r="K63" s="12">
        <f t="shared" si="1"/>
        <v>307.69230769230768</v>
      </c>
      <c r="L63" s="21">
        <v>9.75</v>
      </c>
      <c r="M63" s="13">
        <f>AVERAGE(M59:M62)</f>
        <v>2877.3640602179539</v>
      </c>
      <c r="N63" s="12">
        <f t="shared" si="3"/>
        <v>295.11426258645679</v>
      </c>
      <c r="O63" s="14">
        <f t="shared" si="4"/>
        <v>0</v>
      </c>
      <c r="P63" s="15">
        <f t="shared" si="5"/>
        <v>-12.57804510585089</v>
      </c>
      <c r="Q63" s="413">
        <f t="shared" si="6"/>
        <v>0.95912135340598459</v>
      </c>
      <c r="R63" s="616"/>
      <c r="S63" s="32"/>
      <c r="T63" s="32"/>
      <c r="U63" s="12"/>
      <c r="V63" s="411"/>
      <c r="W63" s="12"/>
      <c r="X63" s="12"/>
      <c r="Y63" s="22">
        <f>SUM(Y59:Y62)</f>
        <v>0</v>
      </c>
      <c r="Z63" s="22">
        <f>SUM(Z59:Z62)</f>
        <v>0</v>
      </c>
      <c r="AA63" s="611"/>
      <c r="AB63" s="611"/>
      <c r="AC63" s="22">
        <v>4</v>
      </c>
      <c r="AD63" s="22">
        <f>SUM(AD59:AD62)</f>
        <v>0</v>
      </c>
      <c r="AE63" s="14">
        <f t="shared" si="43"/>
        <v>-122.63593978204608</v>
      </c>
      <c r="AF63" s="413">
        <f t="shared" si="9"/>
        <v>0.95912135340598459</v>
      </c>
      <c r="AG63" s="616"/>
    </row>
    <row r="64" spans="1:33" ht="15.75" customHeight="1">
      <c r="A64" s="613" t="s">
        <v>73</v>
      </c>
      <c r="B64" s="410" t="s">
        <v>20</v>
      </c>
      <c r="C64" s="660" t="s">
        <v>39</v>
      </c>
      <c r="D64" s="660"/>
      <c r="E64" s="27">
        <v>19.02</v>
      </c>
      <c r="F64" s="410">
        <v>4900</v>
      </c>
      <c r="G64" s="408">
        <f t="shared" ref="G64:G70" si="45">E64*F64</f>
        <v>93198</v>
      </c>
      <c r="H64" s="31">
        <v>2</v>
      </c>
      <c r="I64" s="407">
        <v>14</v>
      </c>
      <c r="J64" s="29">
        <v>2400</v>
      </c>
      <c r="K64" s="12">
        <f t="shared" si="1"/>
        <v>171.42857142857142</v>
      </c>
      <c r="L64" s="407">
        <v>14</v>
      </c>
      <c r="M64" s="13">
        <f t="shared" ref="M64:M70" si="46">F64/V64*60</f>
        <v>2296.875</v>
      </c>
      <c r="N64" s="12">
        <f t="shared" si="3"/>
        <v>164.0625</v>
      </c>
      <c r="O64" s="14">
        <f t="shared" si="4"/>
        <v>0</v>
      </c>
      <c r="P64" s="15">
        <f t="shared" si="5"/>
        <v>-7.3660714285714164</v>
      </c>
      <c r="Q64" s="413">
        <f t="shared" si="6"/>
        <v>0.95703125000000011</v>
      </c>
      <c r="R64" s="616">
        <f>Q71</f>
        <v>0.9574934930354585</v>
      </c>
      <c r="S64" s="32">
        <v>8.3333333333333329E-2</v>
      </c>
      <c r="T64" s="32">
        <v>0.17222222222222222</v>
      </c>
      <c r="U64" s="20"/>
      <c r="V64" s="411">
        <f t="shared" ref="V64:V70" si="47">(T64-S64)*24*60</f>
        <v>128</v>
      </c>
      <c r="W64" s="16">
        <f>T64</f>
        <v>0.17222222222222222</v>
      </c>
      <c r="X64" s="16">
        <f>S65</f>
        <v>0.19166666666666668</v>
      </c>
      <c r="Y64" s="16"/>
      <c r="Z64" s="16"/>
      <c r="AA64" s="612"/>
      <c r="AB64" s="612"/>
      <c r="AC64" s="136">
        <v>7</v>
      </c>
      <c r="AD64" s="18"/>
      <c r="AE64" s="14">
        <f t="shared" si="43"/>
        <v>-103.125</v>
      </c>
      <c r="AF64" s="413">
        <f t="shared" si="9"/>
        <v>0.95703125</v>
      </c>
      <c r="AG64" s="616">
        <f>AF71</f>
        <v>0.95749349303545861</v>
      </c>
    </row>
    <row r="65" spans="1:33" ht="15.75" customHeight="1">
      <c r="A65" s="614" t="s">
        <v>73</v>
      </c>
      <c r="B65" s="410" t="s">
        <v>20</v>
      </c>
      <c r="C65" s="660" t="s">
        <v>24</v>
      </c>
      <c r="D65" s="660"/>
      <c r="E65" s="27">
        <v>20.36</v>
      </c>
      <c r="F65" s="410">
        <v>4198</v>
      </c>
      <c r="G65" s="408">
        <f t="shared" si="45"/>
        <v>85471.28</v>
      </c>
      <c r="H65" s="31" t="s">
        <v>40</v>
      </c>
      <c r="I65" s="407">
        <v>17</v>
      </c>
      <c r="J65" s="29">
        <v>2400</v>
      </c>
      <c r="K65" s="12">
        <f t="shared" si="1"/>
        <v>141.1764705882353</v>
      </c>
      <c r="L65" s="407">
        <v>17</v>
      </c>
      <c r="M65" s="13">
        <f t="shared" si="46"/>
        <v>2289.8181818181824</v>
      </c>
      <c r="N65" s="12">
        <f t="shared" si="3"/>
        <v>134.69518716577545</v>
      </c>
      <c r="O65" s="14">
        <f t="shared" si="4"/>
        <v>0</v>
      </c>
      <c r="P65" s="15">
        <f t="shared" si="5"/>
        <v>-6.4812834224598532</v>
      </c>
      <c r="Q65" s="413">
        <f t="shared" si="6"/>
        <v>0.95409090909090932</v>
      </c>
      <c r="R65" s="616"/>
      <c r="S65" s="32">
        <v>0.19166666666666668</v>
      </c>
      <c r="T65" s="32">
        <v>0.26805555555555555</v>
      </c>
      <c r="U65" s="408">
        <f t="shared" ref="U65:U70" si="48">(S65-T64)*24*60</f>
        <v>28.000000000000021</v>
      </c>
      <c r="V65" s="411">
        <f t="shared" si="47"/>
        <v>109.99999999999997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-110.18181818181756</v>
      </c>
      <c r="AF65" s="413">
        <f t="shared" si="9"/>
        <v>0.95409090909090932</v>
      </c>
      <c r="AG65" s="616"/>
    </row>
    <row r="66" spans="1:33" ht="15.75" customHeight="1">
      <c r="A66" s="614" t="s">
        <v>2136</v>
      </c>
      <c r="B66" s="410" t="s">
        <v>20</v>
      </c>
      <c r="C66" s="660" t="s">
        <v>80</v>
      </c>
      <c r="D66" s="660"/>
      <c r="E66" s="27">
        <v>25.98</v>
      </c>
      <c r="F66" s="410">
        <v>3347</v>
      </c>
      <c r="G66" s="408">
        <f t="shared" si="45"/>
        <v>86955.06</v>
      </c>
      <c r="H66" s="31" t="s">
        <v>40</v>
      </c>
      <c r="I66" s="407">
        <v>17</v>
      </c>
      <c r="J66" s="29">
        <v>2400</v>
      </c>
      <c r="K66" s="12">
        <f t="shared" si="1"/>
        <v>141.1764705882353</v>
      </c>
      <c r="L66" s="407">
        <v>17</v>
      </c>
      <c r="M66" s="13">
        <f t="shared" si="46"/>
        <v>2308.2758620689651</v>
      </c>
      <c r="N66" s="12">
        <f t="shared" si="3"/>
        <v>135.78093306288031</v>
      </c>
      <c r="O66" s="14">
        <f t="shared" si="4"/>
        <v>0</v>
      </c>
      <c r="P66" s="15">
        <f t="shared" si="5"/>
        <v>-5.395537525354996</v>
      </c>
      <c r="Q66" s="413">
        <f t="shared" si="6"/>
        <v>0.96178160919540212</v>
      </c>
      <c r="R66" s="616"/>
      <c r="S66" s="32">
        <v>0.2722222222222222</v>
      </c>
      <c r="T66" s="32">
        <v>0.33263888888888887</v>
      </c>
      <c r="U66" s="408">
        <f t="shared" si="48"/>
        <v>5.9999999999999787</v>
      </c>
      <c r="V66" s="411">
        <f t="shared" si="47"/>
        <v>87.000000000000014</v>
      </c>
      <c r="W66" s="16"/>
      <c r="X66" s="16"/>
      <c r="Y66" s="16"/>
      <c r="Z66" s="16"/>
      <c r="AA66" s="612"/>
      <c r="AB66" s="612"/>
      <c r="AC66" s="136"/>
      <c r="AD66" s="18"/>
      <c r="AE66" s="14">
        <f t="shared" si="43"/>
        <v>-91.724137931034875</v>
      </c>
      <c r="AF66" s="413">
        <f t="shared" si="9"/>
        <v>0.96178160919540212</v>
      </c>
      <c r="AG66" s="616"/>
    </row>
    <row r="67" spans="1:33" ht="15.75" customHeight="1">
      <c r="A67" s="614" t="s">
        <v>2136</v>
      </c>
      <c r="B67" s="410" t="s">
        <v>20</v>
      </c>
      <c r="C67" s="660" t="s">
        <v>739</v>
      </c>
      <c r="D67" s="660"/>
      <c r="E67" s="27">
        <v>28.29</v>
      </c>
      <c r="F67" s="410">
        <v>5157</v>
      </c>
      <c r="G67" s="408">
        <f t="shared" si="45"/>
        <v>145891.53</v>
      </c>
      <c r="H67" s="31" t="s">
        <v>40</v>
      </c>
      <c r="I67" s="407">
        <v>21</v>
      </c>
      <c r="J67" s="29">
        <v>2400</v>
      </c>
      <c r="K67" s="12">
        <f t="shared" si="1"/>
        <v>114.28571428571429</v>
      </c>
      <c r="L67" s="407">
        <v>21</v>
      </c>
      <c r="M67" s="13">
        <f t="shared" si="46"/>
        <v>2292</v>
      </c>
      <c r="N67" s="12">
        <f t="shared" si="3"/>
        <v>109.14285714285714</v>
      </c>
      <c r="O67" s="14">
        <f t="shared" si="4"/>
        <v>0</v>
      </c>
      <c r="P67" s="15">
        <f t="shared" si="5"/>
        <v>-5.142857142857153</v>
      </c>
      <c r="Q67" s="413">
        <f t="shared" si="6"/>
        <v>0.95499999999999996</v>
      </c>
      <c r="R67" s="616"/>
      <c r="S67" s="32">
        <v>0.33749999999999997</v>
      </c>
      <c r="T67" s="32">
        <v>0.43124999999999997</v>
      </c>
      <c r="U67" s="408">
        <f t="shared" si="48"/>
        <v>6.9999999999999751</v>
      </c>
      <c r="V67" s="411">
        <f t="shared" si="47"/>
        <v>135</v>
      </c>
      <c r="W67" s="16"/>
      <c r="X67" s="16"/>
      <c r="Y67" s="16"/>
      <c r="Z67" s="16"/>
      <c r="AA67" s="612"/>
      <c r="AB67" s="612"/>
      <c r="AC67" s="136"/>
      <c r="AD67" s="18"/>
      <c r="AE67" s="14">
        <f t="shared" si="43"/>
        <v>-108</v>
      </c>
      <c r="AF67" s="413">
        <f t="shared" si="9"/>
        <v>0.95499999999999996</v>
      </c>
      <c r="AG67" s="616"/>
    </row>
    <row r="68" spans="1:33" ht="15.75" customHeight="1">
      <c r="A68" s="614" t="s">
        <v>2136</v>
      </c>
      <c r="B68" s="410" t="s">
        <v>20</v>
      </c>
      <c r="C68" s="660" t="s">
        <v>1420</v>
      </c>
      <c r="D68" s="660"/>
      <c r="E68" s="27">
        <v>24.25</v>
      </c>
      <c r="F68" s="410">
        <v>3000</v>
      </c>
      <c r="G68" s="408">
        <f t="shared" si="45"/>
        <v>72750</v>
      </c>
      <c r="H68" s="31">
        <v>2</v>
      </c>
      <c r="I68" s="407">
        <v>17</v>
      </c>
      <c r="J68" s="29">
        <v>2400</v>
      </c>
      <c r="K68" s="12">
        <f t="shared" si="1"/>
        <v>141.1764705882353</v>
      </c>
      <c r="L68" s="407">
        <v>17</v>
      </c>
      <c r="M68" s="13">
        <f t="shared" si="46"/>
        <v>2307.692307692309</v>
      </c>
      <c r="N68" s="12">
        <f t="shared" si="3"/>
        <v>135.74660633484172</v>
      </c>
      <c r="O68" s="14">
        <f t="shared" si="4"/>
        <v>0</v>
      </c>
      <c r="P68" s="15">
        <f t="shared" si="5"/>
        <v>-5.429864253393589</v>
      </c>
      <c r="Q68" s="413">
        <f t="shared" si="6"/>
        <v>0.96153846153846212</v>
      </c>
      <c r="R68" s="616"/>
      <c r="S68" s="32">
        <v>0.43611111111111106</v>
      </c>
      <c r="T68" s="32">
        <v>0.4902777777777777</v>
      </c>
      <c r="U68" s="408">
        <f t="shared" si="48"/>
        <v>6.9999999999999751</v>
      </c>
      <c r="V68" s="411">
        <f t="shared" si="47"/>
        <v>77.999999999999957</v>
      </c>
      <c r="W68" s="16">
        <f>T68</f>
        <v>0.4902777777777777</v>
      </c>
      <c r="X68" s="16">
        <f>S69</f>
        <v>0.53194444444444433</v>
      </c>
      <c r="Y68" s="16"/>
      <c r="Z68" s="16"/>
      <c r="AA68" s="612"/>
      <c r="AB68" s="612"/>
      <c r="AC68" s="136"/>
      <c r="AD68" s="18"/>
      <c r="AE68" s="14">
        <f t="shared" si="43"/>
        <v>-92.307692307691013</v>
      </c>
      <c r="AF68" s="413">
        <f t="shared" si="9"/>
        <v>0.96153846153846212</v>
      </c>
      <c r="AG68" s="616"/>
    </row>
    <row r="69" spans="1:33" ht="15.75" customHeight="1">
      <c r="A69" s="614" t="s">
        <v>73</v>
      </c>
      <c r="B69" s="410" t="s">
        <v>20</v>
      </c>
      <c r="C69" s="660" t="s">
        <v>1420</v>
      </c>
      <c r="D69" s="660"/>
      <c r="E69" s="27">
        <v>24.25</v>
      </c>
      <c r="F69" s="410">
        <v>4097</v>
      </c>
      <c r="G69" s="408">
        <f t="shared" si="45"/>
        <v>99352.25</v>
      </c>
      <c r="H69" s="31" t="s">
        <v>40</v>
      </c>
      <c r="I69" s="407">
        <v>17</v>
      </c>
      <c r="J69" s="29">
        <v>2400</v>
      </c>
      <c r="K69" s="12">
        <f t="shared" ref="K69:K71" si="49">J69/I69</f>
        <v>141.1764705882353</v>
      </c>
      <c r="L69" s="407">
        <v>17</v>
      </c>
      <c r="M69" s="13">
        <f t="shared" si="46"/>
        <v>2297.3831775700946</v>
      </c>
      <c r="N69" s="12">
        <f t="shared" ref="N69:N71" si="50">M69/L69</f>
        <v>135.14018691588791</v>
      </c>
      <c r="O69" s="14">
        <f t="shared" ref="O69:O71" si="51">L69-I69</f>
        <v>0</v>
      </c>
      <c r="P69" s="15">
        <f t="shared" ref="P69:P71" si="52">N69-K69</f>
        <v>-6.0362836723473947</v>
      </c>
      <c r="Q69" s="413">
        <f t="shared" ref="Q69:Q71" si="53">N69/K69</f>
        <v>0.95724299065420593</v>
      </c>
      <c r="R69" s="616"/>
      <c r="S69" s="32">
        <v>0.53194444444444433</v>
      </c>
      <c r="T69" s="32">
        <v>0.60624999999999984</v>
      </c>
      <c r="U69" s="408">
        <f t="shared" si="48"/>
        <v>59.999999999999943</v>
      </c>
      <c r="V69" s="411">
        <f t="shared" si="47"/>
        <v>106.99999999999994</v>
      </c>
      <c r="W69" s="16"/>
      <c r="X69" s="16"/>
      <c r="Y69" s="16"/>
      <c r="Z69" s="16"/>
      <c r="AA69" s="612"/>
      <c r="AB69" s="612"/>
      <c r="AC69" s="136"/>
      <c r="AD69" s="18"/>
      <c r="AE69" s="14">
        <f t="shared" si="43"/>
        <v>-102.61682242990537</v>
      </c>
      <c r="AF69" s="413">
        <f t="shared" ref="AF69:AF71" si="54">M69/J69</f>
        <v>0.95724299065420615</v>
      </c>
      <c r="AG69" s="616"/>
    </row>
    <row r="70" spans="1:33" ht="15.75" customHeight="1">
      <c r="A70" s="614" t="s">
        <v>2136</v>
      </c>
      <c r="B70" s="410" t="s">
        <v>20</v>
      </c>
      <c r="C70" s="605" t="s">
        <v>39</v>
      </c>
      <c r="D70" s="606"/>
      <c r="E70" s="27">
        <v>19.02</v>
      </c>
      <c r="F70" s="410">
        <v>3976</v>
      </c>
      <c r="G70" s="408">
        <f t="shared" si="45"/>
        <v>75623.520000000004</v>
      </c>
      <c r="H70" s="31" t="s">
        <v>40</v>
      </c>
      <c r="I70" s="407">
        <v>14</v>
      </c>
      <c r="J70" s="29">
        <v>2400</v>
      </c>
      <c r="K70" s="12">
        <f t="shared" si="49"/>
        <v>171.42857142857142</v>
      </c>
      <c r="L70" s="407">
        <v>14</v>
      </c>
      <c r="M70" s="13">
        <f t="shared" si="46"/>
        <v>2293.8461538461552</v>
      </c>
      <c r="N70" s="12">
        <f t="shared" si="50"/>
        <v>163.84615384615395</v>
      </c>
      <c r="O70" s="14">
        <f t="shared" si="51"/>
        <v>0</v>
      </c>
      <c r="P70" s="15">
        <f t="shared" si="52"/>
        <v>-7.5824175824174631</v>
      </c>
      <c r="Q70" s="413">
        <f t="shared" si="53"/>
        <v>0.95576923076923148</v>
      </c>
      <c r="R70" s="616"/>
      <c r="S70" s="32">
        <v>0.61111111111111094</v>
      </c>
      <c r="T70" s="32">
        <v>0.68333333333333313</v>
      </c>
      <c r="U70" s="408">
        <f t="shared" si="48"/>
        <v>6.9999999999999751</v>
      </c>
      <c r="V70" s="411">
        <f t="shared" si="47"/>
        <v>103.99999999999994</v>
      </c>
      <c r="W70" s="16"/>
      <c r="X70" s="16"/>
      <c r="Y70" s="19"/>
      <c r="Z70" s="19"/>
      <c r="AA70" s="607"/>
      <c r="AB70" s="608"/>
      <c r="AC70" s="136"/>
      <c r="AD70" s="18"/>
      <c r="AE70" s="14">
        <f t="shared" si="43"/>
        <v>-106.15384615384482</v>
      </c>
      <c r="AF70" s="413">
        <f t="shared" si="54"/>
        <v>0.95576923076923137</v>
      </c>
      <c r="AG70" s="616"/>
    </row>
    <row r="71" spans="1:33" ht="16.5" customHeight="1">
      <c r="A71" s="615" t="s">
        <v>2136</v>
      </c>
      <c r="B71" s="27" t="s">
        <v>2131</v>
      </c>
      <c r="C71" s="609"/>
      <c r="D71" s="610"/>
      <c r="E71" s="412"/>
      <c r="F71" s="28"/>
      <c r="G71" s="12"/>
      <c r="H71" s="410"/>
      <c r="I71" s="21">
        <v>16.714285714285715</v>
      </c>
      <c r="J71" s="29">
        <v>2400</v>
      </c>
      <c r="K71" s="12">
        <f t="shared" si="49"/>
        <v>143.58974358974359</v>
      </c>
      <c r="L71" s="21">
        <v>16.714285714285715</v>
      </c>
      <c r="M71" s="13">
        <f>AVERAGE(M64:M70)</f>
        <v>2297.9843832851006</v>
      </c>
      <c r="N71" s="12">
        <f t="shared" si="50"/>
        <v>137.48624515380942</v>
      </c>
      <c r="O71" s="14">
        <f t="shared" si="51"/>
        <v>0</v>
      </c>
      <c r="P71" s="15">
        <f t="shared" si="52"/>
        <v>-6.1034984359341706</v>
      </c>
      <c r="Q71" s="413">
        <f t="shared" si="53"/>
        <v>0.9574934930354585</v>
      </c>
      <c r="R71" s="616"/>
      <c r="S71" s="32"/>
      <c r="T71" s="32"/>
      <c r="U71" s="12"/>
      <c r="V71" s="411"/>
      <c r="W71" s="12"/>
      <c r="X71" s="12"/>
      <c r="Y71" s="22">
        <f>SUM(Y64:Y70)</f>
        <v>0</v>
      </c>
      <c r="Z71" s="22">
        <f>SUM(Z64:Z70)</f>
        <v>0</v>
      </c>
      <c r="AA71" s="611"/>
      <c r="AB71" s="611"/>
      <c r="AC71" s="22">
        <v>7</v>
      </c>
      <c r="AD71" s="22">
        <f>SUM(AD64:AD70)</f>
        <v>0</v>
      </c>
      <c r="AE71" s="14">
        <f t="shared" si="43"/>
        <v>-102.01561671489935</v>
      </c>
      <c r="AF71" s="413">
        <f t="shared" si="54"/>
        <v>0.95749349303545861</v>
      </c>
      <c r="AG71" s="616"/>
    </row>
    <row r="72" spans="1:33">
      <c r="D72" s="23"/>
      <c r="E72" s="23"/>
    </row>
  </sheetData>
  <mergeCells count="191">
    <mergeCell ref="A64:A71"/>
    <mergeCell ref="C64:D64"/>
    <mergeCell ref="R64:R71"/>
    <mergeCell ref="AA64:AB64"/>
    <mergeCell ref="AG64:AG71"/>
    <mergeCell ref="C65:D65"/>
    <mergeCell ref="AA65:AB65"/>
    <mergeCell ref="C66:D66"/>
    <mergeCell ref="AA66:AB66"/>
    <mergeCell ref="C67:D67"/>
    <mergeCell ref="C71:D71"/>
    <mergeCell ref="AA71:AB71"/>
    <mergeCell ref="AA67:AB67"/>
    <mergeCell ref="C68:D68"/>
    <mergeCell ref="AA68:AB68"/>
    <mergeCell ref="C69:D69"/>
    <mergeCell ref="AA69:AB69"/>
    <mergeCell ref="C70:D70"/>
    <mergeCell ref="AA70:AB70"/>
    <mergeCell ref="AG59:AG63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59:A63"/>
    <mergeCell ref="C59:D59"/>
    <mergeCell ref="R59:R63"/>
    <mergeCell ref="AA59:AB59"/>
    <mergeCell ref="AA54:AB54"/>
    <mergeCell ref="C55:D55"/>
    <mergeCell ref="AA55:AB55"/>
    <mergeCell ref="C56:D56"/>
    <mergeCell ref="AA56:AB56"/>
    <mergeCell ref="C57:D57"/>
    <mergeCell ref="AA57:AB57"/>
    <mergeCell ref="A50:A58"/>
    <mergeCell ref="C50:D50"/>
    <mergeCell ref="R50:R58"/>
    <mergeCell ref="AA50:AB50"/>
    <mergeCell ref="AG50:AG58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8:D58"/>
    <mergeCell ref="AA58:AB58"/>
    <mergeCell ref="A45:A49"/>
    <mergeCell ref="C45:D45"/>
    <mergeCell ref="R45:R49"/>
    <mergeCell ref="AA45:AB45"/>
    <mergeCell ref="C40:D40"/>
    <mergeCell ref="AA40:AB40"/>
    <mergeCell ref="C41:D41"/>
    <mergeCell ref="AA41:AB41"/>
    <mergeCell ref="C42:D42"/>
    <mergeCell ref="AA42:AB42"/>
    <mergeCell ref="A37:A44"/>
    <mergeCell ref="C37:D37"/>
    <mergeCell ref="R37:R44"/>
    <mergeCell ref="AA37:AB37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G37:AG44"/>
    <mergeCell ref="C38:D38"/>
    <mergeCell ref="AA38:AB38"/>
    <mergeCell ref="C39:D39"/>
    <mergeCell ref="AA39:AB39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A35:AB35"/>
    <mergeCell ref="C36:D36"/>
    <mergeCell ref="AA36:AB36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1:D21"/>
    <mergeCell ref="AA21:AB21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</mergeCells>
  <phoneticPr fontId="3" type="noConversion"/>
  <conditionalFormatting sqref="O62:O69 O58:O59 O71 O5:O8 O13:O15 O21:O55">
    <cfRule type="cellIs" dxfId="1574" priority="56" operator="greaterThan">
      <formula>0</formula>
    </cfRule>
  </conditionalFormatting>
  <conditionalFormatting sqref="P5:P6 P62 AE62 P64:P69 P29:P35 P59 P8 P13:P15 P22:P27 P50:P55 P37:P48 AE5:AE59 AE64:AE71">
    <cfRule type="cellIs" dxfId="1573" priority="60" operator="lessThan">
      <formula>0</formula>
    </cfRule>
  </conditionalFormatting>
  <conditionalFormatting sqref="AF62 Q62:Q69 Q58:Q59 Q71 Q5:Q8 Q13:Q15 Q21:Q55 AF5:AF59 AF64:AF71">
    <cfRule type="cellIs" dxfId="1572" priority="57" operator="greaterThan">
      <formula>1</formula>
    </cfRule>
    <cfRule type="cellIs" dxfId="1571" priority="58" operator="lessThan">
      <formula>0.8</formula>
    </cfRule>
  </conditionalFormatting>
  <conditionalFormatting sqref="AG14:AG15 R14:R15 AG62 R62:R69 AG58:AG59 R58:R59 R71 AG5:AG8 R5:R8 AG21:AG55 R21:R55">
    <cfRule type="cellIs" dxfId="1570" priority="62" operator="lessThan">
      <formula>0.8</formula>
    </cfRule>
  </conditionalFormatting>
  <conditionalFormatting sqref="AG45">
    <cfRule type="cellIs" dxfId="1569" priority="64" operator="lessThan">
      <formula>0.8</formula>
    </cfRule>
  </conditionalFormatting>
  <conditionalFormatting sqref="AG22:AG27">
    <cfRule type="cellIs" dxfId="1568" priority="61" operator="lessThan">
      <formula>0.8</formula>
    </cfRule>
  </conditionalFormatting>
  <conditionalFormatting sqref="AG29">
    <cfRule type="cellIs" dxfId="1567" priority="63" operator="lessThan">
      <formula>0.8</formula>
    </cfRule>
  </conditionalFormatting>
  <conditionalFormatting sqref="AG37:AG43">
    <cfRule type="cellIs" dxfId="1566" priority="59" operator="lessThan">
      <formula>0.8</formula>
    </cfRule>
  </conditionalFormatting>
  <conditionalFormatting sqref="AE63">
    <cfRule type="cellIs" dxfId="1565" priority="55" operator="lessThan">
      <formula>0</formula>
    </cfRule>
  </conditionalFormatting>
  <conditionalFormatting sqref="AF63">
    <cfRule type="cellIs" dxfId="1564" priority="53" operator="greaterThan">
      <formula>1</formula>
    </cfRule>
    <cfRule type="cellIs" dxfId="1563" priority="54" operator="lessThan">
      <formula>0.8</formula>
    </cfRule>
  </conditionalFormatting>
  <conditionalFormatting sqref="O16:O17">
    <cfRule type="cellIs" dxfId="1562" priority="48" operator="greaterThan">
      <formula>0</formula>
    </cfRule>
  </conditionalFormatting>
  <conditionalFormatting sqref="P16:P17">
    <cfRule type="cellIs" dxfId="1561" priority="51" operator="lessThan">
      <formula>0</formula>
    </cfRule>
  </conditionalFormatting>
  <conditionalFormatting sqref="Q16:Q17">
    <cfRule type="cellIs" dxfId="1560" priority="49" operator="greaterThan">
      <formula>1</formula>
    </cfRule>
    <cfRule type="cellIs" dxfId="1559" priority="50" operator="lessThan">
      <formula>0.8</formula>
    </cfRule>
  </conditionalFormatting>
  <conditionalFormatting sqref="R16:R17 AG16:AG17">
    <cfRule type="cellIs" dxfId="1558" priority="52" operator="lessThan">
      <formula>0.8</formula>
    </cfRule>
  </conditionalFormatting>
  <conditionalFormatting sqref="O9:O12">
    <cfRule type="cellIs" dxfId="1557" priority="44" operator="greaterThan">
      <formula>0</formula>
    </cfRule>
  </conditionalFormatting>
  <conditionalFormatting sqref="P9:P12">
    <cfRule type="cellIs" dxfId="1556" priority="47" operator="lessThan">
      <formula>0</formula>
    </cfRule>
  </conditionalFormatting>
  <conditionalFormatting sqref="Q9:Q12">
    <cfRule type="cellIs" dxfId="1555" priority="45" operator="greaterThan">
      <formula>1</formula>
    </cfRule>
    <cfRule type="cellIs" dxfId="1554" priority="46" operator="lessThan">
      <formula>0.8</formula>
    </cfRule>
  </conditionalFormatting>
  <conditionalFormatting sqref="O56">
    <cfRule type="cellIs" dxfId="1553" priority="39" operator="greaterThan">
      <formula>0</formula>
    </cfRule>
  </conditionalFormatting>
  <conditionalFormatting sqref="P56">
    <cfRule type="cellIs" dxfId="1552" priority="42" operator="lessThan">
      <formula>0</formula>
    </cfRule>
  </conditionalFormatting>
  <conditionalFormatting sqref="Q56">
    <cfRule type="cellIs" dxfId="1551" priority="40" operator="greaterThan">
      <formula>1</formula>
    </cfRule>
    <cfRule type="cellIs" dxfId="1550" priority="41" operator="lessThan">
      <formula>0.8</formula>
    </cfRule>
  </conditionalFormatting>
  <conditionalFormatting sqref="R56 AG56">
    <cfRule type="cellIs" dxfId="1549" priority="43" operator="lessThan">
      <formula>0.8</formula>
    </cfRule>
  </conditionalFormatting>
  <conditionalFormatting sqref="O61">
    <cfRule type="cellIs" dxfId="1548" priority="34" operator="greaterThan">
      <formula>0</formula>
    </cfRule>
  </conditionalFormatting>
  <conditionalFormatting sqref="P61 AE61">
    <cfRule type="cellIs" dxfId="1547" priority="37" operator="lessThan">
      <formula>0</formula>
    </cfRule>
  </conditionalFormatting>
  <conditionalFormatting sqref="Q61 AF61">
    <cfRule type="cellIs" dxfId="1546" priority="35" operator="greaterThan">
      <formula>1</formula>
    </cfRule>
    <cfRule type="cellIs" dxfId="1545" priority="36" operator="lessThan">
      <formula>0.8</formula>
    </cfRule>
  </conditionalFormatting>
  <conditionalFormatting sqref="R61 AG61">
    <cfRule type="cellIs" dxfId="1544" priority="38" operator="lessThan">
      <formula>0.8</formula>
    </cfRule>
  </conditionalFormatting>
  <conditionalFormatting sqref="O70">
    <cfRule type="cellIs" dxfId="1543" priority="29" operator="greaterThan">
      <formula>0</formula>
    </cfRule>
  </conditionalFormatting>
  <conditionalFormatting sqref="P70">
    <cfRule type="cellIs" dxfId="1542" priority="32" operator="lessThan">
      <formula>0</formula>
    </cfRule>
  </conditionalFormatting>
  <conditionalFormatting sqref="Q70">
    <cfRule type="cellIs" dxfId="1541" priority="30" operator="greaterThan">
      <formula>1</formula>
    </cfRule>
    <cfRule type="cellIs" dxfId="1540" priority="31" operator="lessThan">
      <formula>0.8</formula>
    </cfRule>
  </conditionalFormatting>
  <conditionalFormatting sqref="R70">
    <cfRule type="cellIs" dxfId="1539" priority="33" operator="lessThan">
      <formula>0.8</formula>
    </cfRule>
  </conditionalFormatting>
  <conditionalFormatting sqref="O18:O19">
    <cfRule type="cellIs" dxfId="1538" priority="24" operator="greaterThan">
      <formula>0</formula>
    </cfRule>
  </conditionalFormatting>
  <conditionalFormatting sqref="P18:P19">
    <cfRule type="cellIs" dxfId="1537" priority="27" operator="lessThan">
      <formula>0</formula>
    </cfRule>
  </conditionalFormatting>
  <conditionalFormatting sqref="Q18:Q19">
    <cfRule type="cellIs" dxfId="1536" priority="25" operator="greaterThan">
      <formula>1</formula>
    </cfRule>
    <cfRule type="cellIs" dxfId="1535" priority="26" operator="lessThan">
      <formula>0.8</formula>
    </cfRule>
  </conditionalFormatting>
  <conditionalFormatting sqref="R18:R19 AG18:AG19">
    <cfRule type="cellIs" dxfId="1534" priority="28" operator="lessThan">
      <formula>0.8</formula>
    </cfRule>
  </conditionalFormatting>
  <conditionalFormatting sqref="O57">
    <cfRule type="cellIs" dxfId="1533" priority="19" operator="greaterThan">
      <formula>0</formula>
    </cfRule>
  </conditionalFormatting>
  <conditionalFormatting sqref="P57">
    <cfRule type="cellIs" dxfId="1532" priority="22" operator="lessThan">
      <formula>0</formula>
    </cfRule>
  </conditionalFormatting>
  <conditionalFormatting sqref="Q57">
    <cfRule type="cellIs" dxfId="1531" priority="20" operator="greaterThan">
      <formula>1</formula>
    </cfRule>
    <cfRule type="cellIs" dxfId="1530" priority="21" operator="lessThan">
      <formula>0.8</formula>
    </cfRule>
  </conditionalFormatting>
  <conditionalFormatting sqref="AG57 R57">
    <cfRule type="cellIs" dxfId="1529" priority="23" operator="lessThan">
      <formula>0.8</formula>
    </cfRule>
  </conditionalFormatting>
  <conditionalFormatting sqref="O60">
    <cfRule type="cellIs" dxfId="1528" priority="14" operator="greaterThan">
      <formula>0</formula>
    </cfRule>
  </conditionalFormatting>
  <conditionalFormatting sqref="P60 AE60">
    <cfRule type="cellIs" dxfId="1527" priority="17" operator="lessThan">
      <formula>0</formula>
    </cfRule>
  </conditionalFormatting>
  <conditionalFormatting sqref="Q60 AF60">
    <cfRule type="cellIs" dxfId="1526" priority="15" operator="greaterThan">
      <formula>1</formula>
    </cfRule>
    <cfRule type="cellIs" dxfId="1525" priority="16" operator="lessThan">
      <formula>0.8</formula>
    </cfRule>
  </conditionalFormatting>
  <conditionalFormatting sqref="R60 AG60">
    <cfRule type="cellIs" dxfId="1524" priority="18" operator="lessThan">
      <formula>0.8</formula>
    </cfRule>
  </conditionalFormatting>
  <conditionalFormatting sqref="O20">
    <cfRule type="cellIs" dxfId="1523" priority="9" operator="greaterThan">
      <formula>0</formula>
    </cfRule>
  </conditionalFormatting>
  <conditionalFormatting sqref="P20">
    <cfRule type="cellIs" dxfId="1522" priority="12" operator="lessThan">
      <formula>0</formula>
    </cfRule>
  </conditionalFormatting>
  <conditionalFormatting sqref="Q20">
    <cfRule type="cellIs" dxfId="1521" priority="10" operator="greaterThan">
      <formula>1</formula>
    </cfRule>
    <cfRule type="cellIs" dxfId="1520" priority="11" operator="lessThan">
      <formula>0.8</formula>
    </cfRule>
  </conditionalFormatting>
  <conditionalFormatting sqref="AG20 R20">
    <cfRule type="cellIs" dxfId="1519" priority="13" operator="lessThan">
      <formula>0.8</formula>
    </cfRule>
  </conditionalFormatting>
  <conditionalFormatting sqref="P7">
    <cfRule type="cellIs" dxfId="1518" priority="8" operator="lessThan">
      <formula>0</formula>
    </cfRule>
  </conditionalFormatting>
  <conditionalFormatting sqref="P21">
    <cfRule type="cellIs" dxfId="1517" priority="7" operator="lessThan">
      <formula>0</formula>
    </cfRule>
  </conditionalFormatting>
  <conditionalFormatting sqref="P28">
    <cfRule type="cellIs" dxfId="1516" priority="6" operator="lessThan">
      <formula>0</formula>
    </cfRule>
  </conditionalFormatting>
  <conditionalFormatting sqref="P36">
    <cfRule type="cellIs" dxfId="1515" priority="5" operator="lessThan">
      <formula>0</formula>
    </cfRule>
  </conditionalFormatting>
  <conditionalFormatting sqref="P49">
    <cfRule type="cellIs" dxfId="1514" priority="4" operator="lessThan">
      <formula>0</formula>
    </cfRule>
  </conditionalFormatting>
  <conditionalFormatting sqref="P58">
    <cfRule type="cellIs" dxfId="1513" priority="3" operator="lessThan">
      <formula>0</formula>
    </cfRule>
  </conditionalFormatting>
  <conditionalFormatting sqref="P63">
    <cfRule type="cellIs" dxfId="1512" priority="2" operator="lessThan">
      <formula>0</formula>
    </cfRule>
  </conditionalFormatting>
  <conditionalFormatting sqref="P71">
    <cfRule type="cellIs" dxfId="1511" priority="1" operator="lessThan">
      <formula>0</formula>
    </cfRule>
  </conditionalFormatting>
  <dataValidations count="1">
    <dataValidation type="list" allowBlank="1" showInputMessage="1" showErrorMessage="1" sqref="AB7 AA5:AB6 AA7:AA62 AB9:AB59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3" sqref="P13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1994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1995</v>
      </c>
      <c r="C3" s="594" t="str">
        <f>TEXT('0722 4度C'!A2,"yyyy.mm.ddaaaa")</f>
        <v>2026.07.22星期三</v>
      </c>
      <c r="D3" s="595"/>
      <c r="E3" s="36" t="s">
        <v>1996</v>
      </c>
      <c r="F3" s="596">
        <f>'0722 4度C'!D1</f>
        <v>178795</v>
      </c>
      <c r="G3" s="597"/>
      <c r="H3" s="36" t="s">
        <v>1997</v>
      </c>
      <c r="I3" s="598">
        <f>'0722 4度C'!F1</f>
        <v>6186062.1799999988</v>
      </c>
      <c r="J3" s="599"/>
      <c r="K3" s="37"/>
      <c r="L3" s="38"/>
      <c r="M3" s="39"/>
      <c r="N3" s="39"/>
    </row>
    <row r="4" spans="2:17" ht="28.5" customHeight="1">
      <c r="B4" s="600" t="s">
        <v>1998</v>
      </c>
      <c r="C4" s="586" t="s">
        <v>1999</v>
      </c>
      <c r="D4" s="587"/>
      <c r="E4" s="603" t="s">
        <v>2000</v>
      </c>
      <c r="F4" s="604"/>
      <c r="G4" s="603" t="s">
        <v>2001</v>
      </c>
      <c r="H4" s="604"/>
      <c r="I4" s="603" t="s">
        <v>2002</v>
      </c>
      <c r="J4" s="604"/>
      <c r="K4" s="584" t="s">
        <v>2003</v>
      </c>
      <c r="L4" s="585"/>
      <c r="M4" s="585" t="s">
        <v>2004</v>
      </c>
      <c r="N4" s="585"/>
    </row>
    <row r="5" spans="2:17" ht="28.5" customHeight="1">
      <c r="B5" s="601"/>
      <c r="C5" s="586" t="s">
        <v>2005</v>
      </c>
      <c r="D5" s="587"/>
      <c r="E5" s="586" t="s">
        <v>2006</v>
      </c>
      <c r="F5" s="587"/>
      <c r="G5" s="588" t="s">
        <v>2007</v>
      </c>
      <c r="H5" s="589"/>
      <c r="I5" s="590" t="s">
        <v>2008</v>
      </c>
      <c r="J5" s="591"/>
      <c r="K5" s="40" t="s">
        <v>2009</v>
      </c>
      <c r="L5" s="41" t="s">
        <v>2010</v>
      </c>
      <c r="M5" s="40" t="s">
        <v>2011</v>
      </c>
      <c r="N5" s="41" t="s">
        <v>2012</v>
      </c>
    </row>
    <row r="6" spans="2:17" ht="28.5" customHeight="1">
      <c r="B6" s="601"/>
      <c r="C6" s="586" t="s">
        <v>41</v>
      </c>
      <c r="D6" s="587"/>
      <c r="E6" s="578">
        <f>AVERAGE(D13:M13)</f>
        <v>156.97951857417513</v>
      </c>
      <c r="F6" s="579">
        <f>AVERAGE(D31:O31,D13:J13)</f>
        <v>166.11231977213356</v>
      </c>
      <c r="G6" s="580">
        <f>AVERAGE(D13:J13)</f>
        <v>166.11231977213356</v>
      </c>
      <c r="H6" s="581"/>
      <c r="I6" s="580">
        <f>AVERAGE(K13:M13)</f>
        <v>135.66964911227208</v>
      </c>
      <c r="J6" s="581"/>
      <c r="K6" s="582">
        <f>'0722 4度C'!Y2</f>
        <v>0</v>
      </c>
      <c r="L6" s="567">
        <f>'0722 4度C'!Z2</f>
        <v>0</v>
      </c>
      <c r="M6" s="583">
        <f>'0722 4度C'!AC2</f>
        <v>60</v>
      </c>
      <c r="N6" s="567">
        <f>'0722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150.54890490336055</v>
      </c>
      <c r="F7" s="571">
        <f>AVERAGE(D32:O32,D14:J14)</f>
        <v>159.45237060629916</v>
      </c>
      <c r="G7" s="572">
        <f>AVERAGE(D14:J14)</f>
        <v>159.45237060629916</v>
      </c>
      <c r="H7" s="573"/>
      <c r="I7" s="572">
        <f>AVERAGE(K14:M14)</f>
        <v>129.77415159650374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0.95862985061458128</v>
      </c>
      <c r="F8" s="575">
        <f>AVERAGE(D15:J15,D33:O33)</f>
        <v>0.95953007257534451</v>
      </c>
      <c r="G8" s="576">
        <f>AVERAGE(D15:J15)</f>
        <v>0.95953007257534451</v>
      </c>
      <c r="H8" s="577"/>
      <c r="I8" s="576">
        <f>AVERAGE(K15:M15)</f>
        <v>0.95652933270613405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2013</v>
      </c>
      <c r="N9" s="39"/>
      <c r="O9" s="39"/>
      <c r="P9" s="39"/>
      <c r="Q9" s="39"/>
    </row>
    <row r="10" spans="2:17" ht="30" customHeight="1">
      <c r="B10" s="550" t="s">
        <v>103</v>
      </c>
      <c r="C10" s="551"/>
      <c r="D10" s="552" t="s">
        <v>650</v>
      </c>
      <c r="E10" s="553"/>
      <c r="F10" s="553"/>
      <c r="G10" s="553"/>
      <c r="H10" s="553"/>
      <c r="I10" s="553"/>
      <c r="J10" s="554"/>
      <c r="K10" s="555" t="s">
        <v>2014</v>
      </c>
      <c r="L10" s="556"/>
      <c r="M10" s="557"/>
      <c r="P10" s="45"/>
      <c r="Q10" s="45"/>
    </row>
    <row r="11" spans="2:17" ht="17.25" customHeight="1">
      <c r="B11" s="558" t="s">
        <v>2015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251</v>
      </c>
      <c r="C13" s="52" t="s">
        <v>2016</v>
      </c>
      <c r="D13" s="53">
        <f>SUMIFS('0722 4度C'!$K:$K,'0722 4度C'!$A:$A,"新豐6線",'0722 4度C'!$B:$B,"平均")</f>
        <v>129.03225806451613</v>
      </c>
      <c r="E13" s="54">
        <f>SUMIFS('0722 4度C'!$K:$K,'0722 4度C'!$A:$A,"新豐2線",'0722 4度C'!$B:$B,"平均")</f>
        <v>86.206896551724142</v>
      </c>
      <c r="F13" s="55">
        <f>SUMIFS('0722 4度C'!$K:$K,'0722 4度C'!$A:$A,"新豐5線",'0722 4度C'!$B:$B,"平均")</f>
        <v>90.604026845637577</v>
      </c>
      <c r="G13" s="55">
        <f>SUMIFS('0722 4度C'!$K:$K,'0722 4度C'!$A:$A,"新豐7線",'0722 4度C'!$B:$B,"平均")</f>
        <v>127.27272727272728</v>
      </c>
      <c r="H13" s="55">
        <f>SUMIFS('0722 4度C'!$K:$K,'0722 4度C'!$A:$A,"新豐3線",'0722 4度C'!$B:$B,"平均")</f>
        <v>307.69230769230768</v>
      </c>
      <c r="I13" s="55">
        <f>SUMIFS('0722 4度C'!$K:$K,'0722 4度C'!$A:$A,"新豐1線",'0722 4度C'!$B:$B,"平均")</f>
        <v>114.28571428571429</v>
      </c>
      <c r="J13" s="56">
        <f>SUMIFS('0722 4度C'!$K:$K,'0722 4度C'!$A:$A,"新豐10線",'0722 4度C'!$B:$B,"平均")</f>
        <v>307.69230769230768</v>
      </c>
      <c r="K13" s="57">
        <f>SUMIFS('0722 4度C'!$K:$K,'0722 4度C'!$A:$A,"新豐8線",'0722 4度C'!$B:$B,"平均")</f>
        <v>137.70491803278691</v>
      </c>
      <c r="L13" s="58">
        <f>SUMIFS('0722 4度C'!$K:$K,'0722 4度C'!$A:$A,"新豐9線",'0722 4度C'!$B:$B,"平均")</f>
        <v>125.71428571428571</v>
      </c>
      <c r="M13" s="56">
        <f>SUMIFS('0722 4度C'!$K:$K,'0722 4度C'!$A:$A,"新豐4線",'0722 4度C'!$B:$B,"平均")</f>
        <v>143.58974358974359</v>
      </c>
    </row>
    <row r="14" spans="2:17" ht="39.6" customHeight="1">
      <c r="B14" s="563"/>
      <c r="C14" s="59" t="s">
        <v>655</v>
      </c>
      <c r="D14" s="60">
        <f>SUMIFS('0722 4度C'!$N:$N,'0722 4度C'!$A:$A,"新豐6線",'0722 4度C'!$B:$B,"平均")</f>
        <v>123.95656653721161</v>
      </c>
      <c r="E14" s="61">
        <f>SUMIFS('0722 4度C'!$N:$N,'0722 4度C'!$A:$A,"新豐2線",'0722 4度C'!$B:$B,"平均")</f>
        <v>82.412863701250117</v>
      </c>
      <c r="F14" s="61">
        <f>SUMIFS('0722 4度C'!$N:$N,'0722 4度C'!$A:$A,"新豐5線",'0722 4度C'!$B:$B,"平均")</f>
        <v>86.853478859453503</v>
      </c>
      <c r="G14" s="61">
        <f>SUMIFS('0722 4度C'!$N:$N,'0722 4度C'!$A:$A,"新豐7線",'0722 4度C'!$B:$B,"平均")</f>
        <v>121.92802955146782</v>
      </c>
      <c r="H14" s="61">
        <f>SUMIFS('0722 4度C'!$N:$N,'0722 4度C'!$A:$A,"新豐3線",'0722 4度C'!$B:$B,"平均")</f>
        <v>294.77336414099318</v>
      </c>
      <c r="I14" s="61">
        <f>SUMIFS('0722 4度C'!$N:$N,'0722 4度C'!$A:$A,"新豐1線",'0722 4度C'!$B:$B,"平均")</f>
        <v>110.02654696428894</v>
      </c>
      <c r="J14" s="62">
        <f>SUMIFS('0722 4度C'!$N:$N,'0722 4度C'!$A:$A,"新豐10線",'0722 4度C'!$B:$B,"平均")</f>
        <v>296.21574448942874</v>
      </c>
      <c r="K14" s="63">
        <f>SUMIFS('0722 4度C'!$N:$N,'0722 4度C'!$A:$A,"新豐8線",'0722 4度C'!$B:$B,"平均")</f>
        <v>131.48759442312459</v>
      </c>
      <c r="L14" s="64">
        <f>SUMIFS('0722 4度C'!$N:$N,'0722 4度C'!$A:$A,"新豐9線",'0722 4度C'!$B:$B,"平均")</f>
        <v>120.27347019075377</v>
      </c>
      <c r="M14" s="62">
        <f>SUMIFS('0722 4度C'!$N:$N,'0722 4度C'!$A:$A,"新豐4線",'0722 4度C'!$B:$B,"平均")</f>
        <v>137.56139017563288</v>
      </c>
    </row>
    <row r="15" spans="2:17" ht="40.15" customHeight="1">
      <c r="B15" s="564"/>
      <c r="C15" s="65" t="s">
        <v>2017</v>
      </c>
      <c r="D15" s="66">
        <f t="shared" ref="D15:M15" si="0">D14/D13</f>
        <v>0.96066339066339002</v>
      </c>
      <c r="E15" s="67">
        <f t="shared" si="0"/>
        <v>0.95598921893450128</v>
      </c>
      <c r="F15" s="67">
        <f t="shared" si="0"/>
        <v>0.95860506296730175</v>
      </c>
      <c r="G15" s="67">
        <f t="shared" si="0"/>
        <v>0.95800594647581849</v>
      </c>
      <c r="H15" s="67">
        <f t="shared" si="0"/>
        <v>0.95801343345822787</v>
      </c>
      <c r="I15" s="67">
        <f t="shared" si="0"/>
        <v>0.96273228593752813</v>
      </c>
      <c r="J15" s="68">
        <f t="shared" si="0"/>
        <v>0.96270116959064345</v>
      </c>
      <c r="K15" s="66">
        <f t="shared" si="0"/>
        <v>0.95485038807269029</v>
      </c>
      <c r="L15" s="67">
        <f t="shared" si="0"/>
        <v>0.95672078560826868</v>
      </c>
      <c r="M15" s="68">
        <f t="shared" si="0"/>
        <v>0.95801682443744329</v>
      </c>
    </row>
    <row r="16" spans="2:17" ht="17.25" customHeight="1">
      <c r="B16" s="565" t="s">
        <v>2018</v>
      </c>
      <c r="C16" s="69" t="s">
        <v>2019</v>
      </c>
      <c r="D16" s="70">
        <f>VLOOKUP("新豐6線",'0722 4度C'!$A:$T,19,0)</f>
        <v>0.70833333333333337</v>
      </c>
      <c r="E16" s="71">
        <f>VLOOKUP("新豐2線",'0722 4度C'!$A:$T,19,0)</f>
        <v>8.3333333333333329E-2</v>
      </c>
      <c r="F16" s="71">
        <f>VLOOKUP("新豐5線",'0722 4度C'!$A:$T,19,0)</f>
        <v>8.3333333333333329E-2</v>
      </c>
      <c r="G16" s="71">
        <f>VLOOKUP("新豐7線",'0722 4度C'!$A:$T,19,0)</f>
        <v>0.20833333333333334</v>
      </c>
      <c r="H16" s="71">
        <f>VLOOKUP("新豐3線",'0722 4度C'!$A:$T,19,0)</f>
        <v>0.20833333333333334</v>
      </c>
      <c r="I16" s="71">
        <f>VLOOKUP("新豐1線",'0722 4度C'!$A:$T,19,0)</f>
        <v>0.20833333333333334</v>
      </c>
      <c r="J16" s="72">
        <f>VLOOKUP("新豐10線",'0722 4度C'!$A:$T,19,0)</f>
        <v>0.20833333333333334</v>
      </c>
      <c r="K16" s="73">
        <f>VLOOKUP("新豐8線",'0722 4度C'!$A:$T,19,0)</f>
        <v>8.3333333333333329E-2</v>
      </c>
      <c r="L16" s="74">
        <f>VLOOKUP("新豐9線",'0722 4度C'!$A:$T,19,0)</f>
        <v>8.3333333333333329E-2</v>
      </c>
      <c r="M16" s="75">
        <f>VLOOKUP("新豐4線",'0722 4度C'!$A:$T,19,0)</f>
        <v>8.3333333333333329E-2</v>
      </c>
    </row>
    <row r="17" spans="2:13" ht="17.25" customHeight="1">
      <c r="B17" s="566"/>
      <c r="C17" s="69" t="s">
        <v>2020</v>
      </c>
      <c r="D17" s="73">
        <f>LOOKUP(2,1/(('0722 4度C'!$A:$A="新豐6線")*('0722 4度C'!$T:$T&lt;&gt;"")),'0722 4度C'!$T:$T)</f>
        <v>0.81875000000000009</v>
      </c>
      <c r="E17" s="71">
        <f>LOOKUP(2,1/(('0722 4度C'!$A:$A="新豐2線")*('0722 4度C'!$T:$T&lt;&gt;"")),'0722 4度C'!$T:$T)</f>
        <v>0.61319444444444438</v>
      </c>
      <c r="F17" s="71">
        <f>LOOKUP(2,1/(('0722 4度C'!$A:$A="新豐5線")*('0722 4度C'!$T:$T&lt;&gt;"")),'0722 4度C'!$T:$T)</f>
        <v>0.90694444444444433</v>
      </c>
      <c r="G17" s="71">
        <f>LOOKUP(2,1/(('0722 4度C'!$A:$A="新豐7線")*('0722 4度C'!$T:$T&lt;&gt;"")),'0722 4度C'!$T:$T)</f>
        <v>0.94444444444444442</v>
      </c>
      <c r="H17" s="71">
        <f>LOOKUP(2,1/(('0722 4度C'!$A:$A="新豐3線")*('0722 4度C'!$T:$T&lt;&gt;"")),'0722 4度C'!$T:$T)</f>
        <v>0.44513888888888886</v>
      </c>
      <c r="I17" s="71">
        <f>LOOKUP(2,1/(('0722 4度C'!$A:$A="新豐1線")*('0722 4度C'!$T:$T&lt;&gt;"")),'0722 4度C'!$T:$T)</f>
        <v>0.85</v>
      </c>
      <c r="J17" s="72">
        <f>LOOKUP(2,1/(('0722 4度C'!$A:$A="新豐10線")*('0722 4度C'!$T:$T&lt;&gt;"")),'0722 4度C'!$T:$T)</f>
        <v>0.37152777777777773</v>
      </c>
      <c r="K17" s="70">
        <f>LOOKUP(2,1/(('0722 4度C'!$A:$A="新豐8線")*('0722 4度C'!$T:$T&lt;&gt;"")),'0722 4度C'!$T:$T)</f>
        <v>0.68541666666666656</v>
      </c>
      <c r="L17" s="71">
        <f>LOOKUP(2,1/(('0722 4度C'!$A:$A="新豐9線")*('0722 4度C'!$T:$T&lt;&gt;"")),'0722 4度C'!$T:$T)</f>
        <v>0.70277777777777772</v>
      </c>
      <c r="M17" s="72">
        <f>LOOKUP(2,1/(('0722 4度C'!$A:$A="新豐4線")*('0722 4度C'!$T:$T&lt;&gt;"")),'0722 4度C'!$T:$T)</f>
        <v>0.68402777777777768</v>
      </c>
    </row>
    <row r="18" spans="2:13" ht="17.25" customHeight="1">
      <c r="B18" s="544" t="s">
        <v>2021</v>
      </c>
      <c r="C18" s="76" t="s">
        <v>661</v>
      </c>
      <c r="D18" s="77">
        <f>SUMIFS('0722 4度C'!$Y:$Y,'0722 4度C'!$A:$A,"新豐6線",'0722 4度C'!$B:$B,"平均")</f>
        <v>0</v>
      </c>
      <c r="E18" s="78">
        <f>SUMIFS('0722 4度C'!$Y:$Y,'0722 4度C'!$A:$A,"新豐2線",'0722 4度C'!$B:$B,"平均")</f>
        <v>0</v>
      </c>
      <c r="F18" s="78">
        <f>SUMIFS('0722 4度C'!$Y:$Y,'0722 4度C'!$A:$A,"新豐5線",'0722 4度C'!$B:$B,"平均")</f>
        <v>0</v>
      </c>
      <c r="G18" s="78">
        <f>SUMIFS('0722 4度C'!$Y:$Y,'0722 4度C'!$A:$A,"新豐7線",'0722 4度C'!$B:$B,"平均")</f>
        <v>0</v>
      </c>
      <c r="H18" s="78">
        <f>SUMIFS('0722 4度C'!$Y:$Y,'0722 4度C'!$A:$A,"新豐3線",'0722 4度C'!$B:$B,"平均")</f>
        <v>0</v>
      </c>
      <c r="I18" s="78">
        <f>SUMIFS('0722 4度C'!$Y:$Y,'0722 4度C'!$A:$A,"新豐1線",'0722 4度C'!$B:$B,"平均")</f>
        <v>0</v>
      </c>
      <c r="J18" s="79">
        <f>SUMIFS('0722 4度C'!$Y:$Y,'0722 4度C'!$A:$A,"新豐10線",'0722 4度C'!$B:$B,"平均")</f>
        <v>0</v>
      </c>
      <c r="K18" s="80">
        <f>SUMIFS('0722 4度C'!$Y:$Y,'0722 4度C'!$A:$A,"新豐8線",'0722 4度C'!$B:$B,"平均")</f>
        <v>0</v>
      </c>
      <c r="L18" s="78">
        <f>SUMIFS('0722 4度C'!$Y:$Y,'0722 4度C'!$A:$A,"新豐9線",'0722 4度C'!$B:$B,"平均")</f>
        <v>0</v>
      </c>
      <c r="M18" s="79">
        <f>SUMIFS('0722 4度C'!$Y:$Y,'0722 4度C'!$A:$A,"新豐4線",'0722 4度C'!$B:$B,"平均")</f>
        <v>0</v>
      </c>
    </row>
    <row r="19" spans="2:13" ht="17.25" customHeight="1">
      <c r="B19" s="545"/>
      <c r="C19" s="76" t="s">
        <v>2022</v>
      </c>
      <c r="D19" s="77">
        <f>SUMIFS('0722 4度C'!$Z:$Z,'0722 4度C'!$A:$A,"新豐6線",'0722 4度C'!$B:$B,"平均")</f>
        <v>0</v>
      </c>
      <c r="E19" s="78">
        <f>SUMIFS('0722 4度C'!$Z:$Z,'0722 4度C'!$A:$A,"新豐2線",'0722 4度C'!$B:$B,"平均")</f>
        <v>0</v>
      </c>
      <c r="F19" s="78">
        <f>SUMIFS('0722 4度C'!$Z:$Z,'0722 4度C'!$A:$A,"新豐5線",'0722 4度C'!$B:$B,"平均")</f>
        <v>0</v>
      </c>
      <c r="G19" s="78">
        <f>SUMIFS('0722 4度C'!$Z:$Z,'0722 4度C'!$A:$A,"新豐7線",'0722 4度C'!$B:$B,"平均")</f>
        <v>0</v>
      </c>
      <c r="H19" s="78">
        <f>SUMIFS('0722 4度C'!$Z:$Z,'0722 4度C'!$A:$A,"新豐3線",'0722 4度C'!$B:$B,"平均")</f>
        <v>0</v>
      </c>
      <c r="I19" s="78">
        <f>SUMIFS('0722 4度C'!$Z:$Z,'0722 4度C'!$A:$A,"新豐1線",'0722 4度C'!$B:$B,"平均")</f>
        <v>0</v>
      </c>
      <c r="J19" s="79">
        <f>SUMIFS('0722 4度C'!$Z:$Z,'0722 4度C'!$A:$A,"新豐10線",'0722 4度C'!$B:$B,"平均")</f>
        <v>0</v>
      </c>
      <c r="K19" s="80">
        <f>SUMIFS('0722 4度C'!$Z:$Z,'0722 4度C'!$A:$A,"新豐8線",'0722 4度C'!$B:$B,"平均")</f>
        <v>0</v>
      </c>
      <c r="L19" s="78">
        <f>SUMIFS('0722 4度C'!$Z:$Z,'0722 4度C'!$A:$A,"新豐9線",'0722 4度C'!$B:$B,"平均")</f>
        <v>0</v>
      </c>
      <c r="M19" s="79">
        <f>SUMIFS('0722 4度C'!$Z:$Z,'0722 4度C'!$A:$A,"新豐4線",'0722 4度C'!$B:$B,"平均")</f>
        <v>0</v>
      </c>
    </row>
    <row r="20" spans="2:13" ht="17.25" customHeight="1">
      <c r="B20" s="544" t="s">
        <v>224</v>
      </c>
      <c r="C20" s="76" t="s">
        <v>2023</v>
      </c>
      <c r="D20" s="77">
        <f>SUMIFS('0722 4度C'!$AC:$AC,'0722 4度C'!$A:$A,"新豐6線",'0722 4度C'!$B:$B,"平均")</f>
        <v>2</v>
      </c>
      <c r="E20" s="78">
        <f>SUMIFS('0722 4度C'!$AC:$AC,'0722 4度C'!$A:$A,"新豐2線",'0722 4度C'!$B:$B,"平均")</f>
        <v>5</v>
      </c>
      <c r="F20" s="78">
        <f>SUMIFS('0722 4度C'!$AC:$AC,'0722 4度C'!$A:$A,"新豐5線",'0722 4度C'!$B:$B,"平均")</f>
        <v>8</v>
      </c>
      <c r="G20" s="78">
        <f>SUMIFS('0722 4度C'!$AC:$AC,'0722 4度C'!$A:$A,"新豐7線",'0722 4度C'!$B:$B,"平均")</f>
        <v>7</v>
      </c>
      <c r="H20" s="78">
        <f>SUMIFS('0722 4度C'!$AC:$AC,'0722 4度C'!$A:$A,"新豐3線",'0722 4度C'!$B:$B,"平均")</f>
        <v>4</v>
      </c>
      <c r="I20" s="78">
        <f>SUMIFS('0722 4度C'!$AC:$AC,'0722 4度C'!$A:$A,"新豐1線",'0722 4度C'!$B:$B,"平均")</f>
        <v>8</v>
      </c>
      <c r="J20" s="79">
        <f>SUMIFS('0722 4度C'!$AC:$AC,'0722 4度C'!$A:$A,"新豐10線",'0722 4度C'!$B:$B,"平均")</f>
        <v>4</v>
      </c>
      <c r="K20" s="80">
        <f>SUMIFS('0722 4度C'!$AC:$AC,'0722 4度C'!$A:$A,"新豐8線",'0722 4度C'!$B:$B,"平均")</f>
        <v>7</v>
      </c>
      <c r="L20" s="78">
        <f>SUMIFS('0722 4度C'!$AC:$AC,'0722 4度C'!$A:$A,"新豐9線",'0722 4度C'!$B:$B,"平均")</f>
        <v>8</v>
      </c>
      <c r="M20" s="79">
        <f>SUMIFS('0722 4度C'!$AC:$AC,'0722 4度C'!$A:$A,"新豐4線",'0722 4度C'!$B:$B,"平均")</f>
        <v>7</v>
      </c>
    </row>
    <row r="21" spans="2:13" ht="17.25" customHeight="1">
      <c r="B21" s="545"/>
      <c r="C21" s="76" t="s">
        <v>2024</v>
      </c>
      <c r="D21" s="77">
        <f>SUMIFS('0722 4度C'!$AD:$AD,'0722 4度C'!$A:$A,"新豐6線",'0722 4度C'!$B:$B,"平均")</f>
        <v>0</v>
      </c>
      <c r="E21" s="78">
        <f>SUMIFS('0722 4度C'!$AD:$AD,'0722 4度C'!$A:$A,"新豐2線",'0722 4度C'!$B:$B,"平均")</f>
        <v>0</v>
      </c>
      <c r="F21" s="78">
        <f>SUMIFS('0722 4度C'!$AD:$AD,'0722 4度C'!$A:$A,"新豐5線",'0722 4度C'!$B:$B,"平均")</f>
        <v>0</v>
      </c>
      <c r="G21" s="78">
        <f>SUMIFS('0722 4度C'!$AD:$AD,'0722 4度C'!$A:$A,"新豐7線",'0722 4度C'!$B:$B,"平均")</f>
        <v>0</v>
      </c>
      <c r="H21" s="78">
        <f>SUMIFS('0722 4度C'!$AD:$AD,'0722 4度C'!$A:$A,"新豐3線",'0722 4度C'!$B:$B,"平均")</f>
        <v>0</v>
      </c>
      <c r="I21" s="78">
        <f>SUMIFS('0722 4度C'!$AD:$AD,'0722 4度C'!$A:$A,"新豐1線",'0722 4度C'!$B:$B,"平均")</f>
        <v>0</v>
      </c>
      <c r="J21" s="79">
        <f>SUMIFS('0722 4度C'!$AD:$AD,'0722 4度C'!$A:$A,"新豐10線",'0722 4度C'!$B:$B,"平均")</f>
        <v>0</v>
      </c>
      <c r="K21" s="80">
        <f>SUMIFS('0722 4度C'!$AD:$AD,'0722 4度C'!$A:$A,"新豐8線",'0722 4度C'!$B:$B,"平均")</f>
        <v>0</v>
      </c>
      <c r="L21" s="78">
        <f>SUMIFS('0722 4度C'!$AD:$AD,'0722 4度C'!$A:$A,"新豐9線",'0722 4度C'!$B:$B,"平均")</f>
        <v>0</v>
      </c>
      <c r="M21" s="79">
        <f>SUMIFS('0722 4度C'!$AD:$AD,'0722 4度C'!$A:$A,"新豐4線",'0722 4度C'!$B:$B,"平均")</f>
        <v>0</v>
      </c>
    </row>
    <row r="22" spans="2:13" ht="17.25" customHeight="1">
      <c r="B22" s="546" t="s">
        <v>2025</v>
      </c>
      <c r="C22" s="547"/>
      <c r="D22" s="81">
        <f>SUMIFS('0722 4度C'!$I:$I,'0722 4度C'!$A:$A,"新豐6線",'0722 4度C'!$B:$B,"平均")</f>
        <v>15.5</v>
      </c>
      <c r="E22" s="82">
        <f>SUMIFS('0722 4度C'!$I:$I,'0722 4度C'!$A:$A,"新豐2線",'0722 4度C'!$B:$B,"平均")</f>
        <v>17.399999999999999</v>
      </c>
      <c r="F22" s="82">
        <f>SUMIFS('0722 4度C'!$I:$I,'0722 4度C'!$A:$A,"新豐5線",'0722 4度C'!$B:$B,"平均")</f>
        <v>18.625</v>
      </c>
      <c r="G22" s="82">
        <f>SUMIFS('0722 4度C'!$I:$I,'0722 4度C'!$A:$A,"新豐7線",'0722 4度C'!$B:$B,"平均")</f>
        <v>15.714285714285714</v>
      </c>
      <c r="H22" s="82">
        <f>SUMIFS('0722 4度C'!$I:$I,'0722 4度C'!$A:$A,"新豐3線",'0722 4度C'!$B:$B,"平均")</f>
        <v>9.75</v>
      </c>
      <c r="I22" s="82">
        <f>SUMIFS('0722 4度C'!$I:$I,'0722 4度C'!$A:$A,"新豐1線",'0722 4度C'!$B:$B,"平均")</f>
        <v>17.5</v>
      </c>
      <c r="J22" s="83">
        <f>SUMIFS('0722 4度C'!$I:$I,'0722 4度C'!$A:$A,"新豐10線",'0722 4度C'!$B:$B,"平均")</f>
        <v>9.75</v>
      </c>
      <c r="K22" s="81">
        <f>SUMIFS('0722 4度C'!$I:$I,'0722 4度C'!$A:$A,"新豐8線",'0722 4度C'!$B:$B,"平均")</f>
        <v>17.428571428571427</v>
      </c>
      <c r="L22" s="82">
        <f>SUMIFS('0722 4度C'!$I:$I,'0722 4度C'!$A:$A,"新豐9線",'0722 4度C'!$B:$B,"平均")</f>
        <v>17.5</v>
      </c>
      <c r="M22" s="83">
        <f>SUMIFS('0722 4度C'!$I:$I,'0722 4度C'!$A:$A,"新豐4線",'0722 4度C'!$B:$B,"平均")</f>
        <v>16.714285714285715</v>
      </c>
    </row>
    <row r="23" spans="2:13" ht="17.25" customHeight="1">
      <c r="B23" s="546" t="s">
        <v>2026</v>
      </c>
      <c r="C23" s="547"/>
      <c r="D23" s="84" t="s">
        <v>54</v>
      </c>
      <c r="E23" s="85" t="s">
        <v>55</v>
      </c>
      <c r="F23" s="85" t="s">
        <v>2027</v>
      </c>
      <c r="G23" s="85" t="s">
        <v>2027</v>
      </c>
      <c r="H23" s="85" t="s">
        <v>56</v>
      </c>
      <c r="I23" s="85" t="s">
        <v>54</v>
      </c>
      <c r="J23" s="86" t="s">
        <v>56</v>
      </c>
      <c r="K23" s="84" t="s">
        <v>2028</v>
      </c>
      <c r="L23" s="85" t="s">
        <v>2029</v>
      </c>
      <c r="M23" s="86" t="s">
        <v>2028</v>
      </c>
    </row>
    <row r="24" spans="2:13" ht="17.25" customHeight="1">
      <c r="B24" s="546" t="s">
        <v>2030</v>
      </c>
      <c r="C24" s="547"/>
      <c r="D24" s="84"/>
      <c r="E24" s="85"/>
      <c r="F24" s="85" t="s">
        <v>2031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2032</v>
      </c>
      <c r="C25" s="549"/>
      <c r="D25" s="87"/>
      <c r="E25" s="88" t="s">
        <v>2033</v>
      </c>
      <c r="F25" s="542" t="s">
        <v>2034</v>
      </c>
      <c r="G25" s="543"/>
      <c r="H25" s="88" t="s">
        <v>2035</v>
      </c>
      <c r="I25" s="88" t="s">
        <v>2036</v>
      </c>
      <c r="J25" s="89" t="s">
        <v>2037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1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zoomScale="80" zoomScaleNormal="80" workbookViewId="0">
      <pane ySplit="4" topLeftCell="A5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677</v>
      </c>
      <c r="D1" s="3">
        <f>SUM(F5:F74)</f>
        <v>178795</v>
      </c>
      <c r="E1" s="397" t="s">
        <v>2038</v>
      </c>
      <c r="F1" s="1">
        <f>SUM(G5:G74)</f>
        <v>6186062.1799999988</v>
      </c>
      <c r="G1" s="1" t="s">
        <v>1086</v>
      </c>
      <c r="H1" s="4">
        <f>L7+L13+L52+L61+L22+L66+L38+L47+L30+L74</f>
        <v>155.88214285714287</v>
      </c>
      <c r="I1" s="654" t="s">
        <v>2039</v>
      </c>
      <c r="J1" s="654"/>
      <c r="K1" s="654"/>
      <c r="L1" s="654" t="s">
        <v>242</v>
      </c>
      <c r="M1" s="654"/>
      <c r="N1" s="654"/>
      <c r="O1" s="654" t="s">
        <v>682</v>
      </c>
      <c r="P1" s="654"/>
      <c r="Q1" s="654"/>
      <c r="R1" s="654"/>
      <c r="S1" s="654" t="s">
        <v>2040</v>
      </c>
      <c r="T1" s="654"/>
      <c r="U1" s="654"/>
      <c r="V1" s="654"/>
      <c r="W1" s="654"/>
      <c r="X1" s="654"/>
      <c r="Y1" s="5" t="s">
        <v>789</v>
      </c>
      <c r="Z1" s="6" t="s">
        <v>685</v>
      </c>
      <c r="AA1" s="655" t="s">
        <v>247</v>
      </c>
      <c r="AB1" s="655"/>
      <c r="AC1" s="92" t="s">
        <v>789</v>
      </c>
      <c r="AD1" s="6" t="s">
        <v>2041</v>
      </c>
      <c r="AE1" s="654" t="s">
        <v>688</v>
      </c>
      <c r="AF1" s="656"/>
      <c r="AG1" s="656"/>
    </row>
    <row r="2" spans="1:33" ht="26.25" customHeight="1">
      <c r="A2" s="25">
        <v>46225</v>
      </c>
      <c r="B2" s="26" t="s">
        <v>76</v>
      </c>
      <c r="C2" s="2" t="s">
        <v>251</v>
      </c>
      <c r="D2" s="8">
        <f>AVERAGE(N7,N13,N52,N61,N22,N66,N30,N38,N47,N74)</f>
        <v>150.54890490336052</v>
      </c>
      <c r="E2" s="9" t="s">
        <v>0</v>
      </c>
      <c r="F2" s="10">
        <f>F1/D1</f>
        <v>34.598630722335628</v>
      </c>
      <c r="G2" s="1" t="s">
        <v>691</v>
      </c>
      <c r="H2" s="405">
        <f>COUNT(H5:H74)</f>
        <v>10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SUM(Y7+Y13+Y22+Y30+Y38+Y47+Y52+Y61+Y66+Y74)</f>
        <v>0</v>
      </c>
      <c r="Z2" s="11">
        <f>SUM(Z7+Z13+Z22+Z30+Z38+Z47+Z52+Z61+Z66+Z74)</f>
        <v>0</v>
      </c>
      <c r="AA2" s="655"/>
      <c r="AB2" s="655"/>
      <c r="AC2" s="11">
        <v>60</v>
      </c>
      <c r="AD2" s="11">
        <f>SUM(AD7+AD13+AD22+AD30+AD38+AD47+AD52+AD61+AD66+AD74)</f>
        <v>0</v>
      </c>
      <c r="AE2" s="656"/>
      <c r="AF2" s="656"/>
      <c r="AG2" s="656"/>
    </row>
    <row r="3" spans="1:33" ht="40.5" customHeight="1">
      <c r="A3" s="612" t="s">
        <v>692</v>
      </c>
      <c r="B3" s="612" t="s">
        <v>2042</v>
      </c>
      <c r="C3" s="612" t="s">
        <v>254</v>
      </c>
      <c r="D3" s="612"/>
      <c r="E3" s="652" t="s">
        <v>1011</v>
      </c>
      <c r="F3" s="612" t="s">
        <v>696</v>
      </c>
      <c r="G3" s="652" t="s">
        <v>256</v>
      </c>
      <c r="H3" s="645" t="s">
        <v>2043</v>
      </c>
      <c r="I3" s="644" t="s">
        <v>2044</v>
      </c>
      <c r="J3" s="641" t="s">
        <v>264</v>
      </c>
      <c r="K3" s="650" t="s">
        <v>251</v>
      </c>
      <c r="L3" s="644" t="s">
        <v>1015</v>
      </c>
      <c r="M3" s="641" t="s">
        <v>264</v>
      </c>
      <c r="N3" s="650" t="s">
        <v>251</v>
      </c>
      <c r="O3" s="644" t="s">
        <v>1015</v>
      </c>
      <c r="P3" s="650" t="s">
        <v>2045</v>
      </c>
      <c r="Q3" s="642" t="s">
        <v>258</v>
      </c>
      <c r="R3" s="621" t="s">
        <v>702</v>
      </c>
      <c r="S3" s="651" t="s">
        <v>1</v>
      </c>
      <c r="T3" s="651"/>
      <c r="U3" s="645" t="s">
        <v>2</v>
      </c>
      <c r="V3" s="645" t="s">
        <v>2046</v>
      </c>
      <c r="W3" s="612" t="s">
        <v>260</v>
      </c>
      <c r="X3" s="612"/>
      <c r="Y3" s="646" t="s">
        <v>2047</v>
      </c>
      <c r="Z3" s="611"/>
      <c r="AA3" s="647" t="s">
        <v>1806</v>
      </c>
      <c r="AB3" s="648"/>
      <c r="AC3" s="646" t="s">
        <v>263</v>
      </c>
      <c r="AD3" s="611"/>
      <c r="AE3" s="641" t="s">
        <v>264</v>
      </c>
      <c r="AF3" s="642" t="s">
        <v>1628</v>
      </c>
      <c r="AG3" s="621" t="s">
        <v>2048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404" t="s">
        <v>3</v>
      </c>
      <c r="T4" s="404" t="s">
        <v>4</v>
      </c>
      <c r="U4" s="645"/>
      <c r="V4" s="645"/>
      <c r="W4" s="397" t="s">
        <v>710</v>
      </c>
      <c r="X4" s="397" t="s">
        <v>268</v>
      </c>
      <c r="Y4" s="396" t="s">
        <v>2049</v>
      </c>
      <c r="Z4" s="396" t="s">
        <v>2050</v>
      </c>
      <c r="AA4" s="649"/>
      <c r="AB4" s="648"/>
      <c r="AC4" s="396" t="s">
        <v>271</v>
      </c>
      <c r="AD4" s="396" t="s">
        <v>2051</v>
      </c>
      <c r="AE4" s="641"/>
      <c r="AF4" s="642"/>
      <c r="AG4" s="621"/>
    </row>
    <row r="5" spans="1:33">
      <c r="A5" s="643" t="s">
        <v>274</v>
      </c>
      <c r="B5" s="27" t="s">
        <v>5</v>
      </c>
      <c r="C5" s="657" t="s">
        <v>14</v>
      </c>
      <c r="D5" s="657"/>
      <c r="E5" s="27">
        <v>50.92</v>
      </c>
      <c r="F5" s="404">
        <v>2378</v>
      </c>
      <c r="G5" s="397">
        <f t="shared" ref="G5:G6" si="0">E5*F5</f>
        <v>121087.76000000001</v>
      </c>
      <c r="H5" s="31" t="s">
        <v>40</v>
      </c>
      <c r="I5" s="402">
        <v>15</v>
      </c>
      <c r="J5" s="29">
        <v>2000</v>
      </c>
      <c r="K5" s="12">
        <f t="shared" ref="K5:K68" si="1">J5/I5</f>
        <v>133.33333333333334</v>
      </c>
      <c r="L5" s="402">
        <v>15</v>
      </c>
      <c r="M5" s="13">
        <f t="shared" ref="M5:M6" si="2">F5/V5*60</f>
        <v>1928.1081081081065</v>
      </c>
      <c r="N5" s="12">
        <f t="shared" ref="N5:N68" si="3">M5/L5</f>
        <v>128.54054054054043</v>
      </c>
      <c r="O5" s="14">
        <f t="shared" ref="O5:O68" si="4">L5-I5</f>
        <v>0</v>
      </c>
      <c r="P5" s="15">
        <f t="shared" ref="P5:P68" si="5">N5-K5</f>
        <v>-4.792792792792909</v>
      </c>
      <c r="Q5" s="398">
        <f t="shared" ref="Q5:Q68" si="6">N5/K5</f>
        <v>0.9640540540540532</v>
      </c>
      <c r="R5" s="616">
        <f>Q7</f>
        <v>0.96066339066339002</v>
      </c>
      <c r="S5" s="32">
        <v>0.70833333333333337</v>
      </c>
      <c r="T5" s="32">
        <v>0.7597222222222223</v>
      </c>
      <c r="U5" s="397"/>
      <c r="V5" s="403">
        <f t="shared" ref="V5:V6" si="7">(T5-S5)*24*60</f>
        <v>74.000000000000057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60" si="8">M5-J5</f>
        <v>-71.891891891893465</v>
      </c>
      <c r="AF5" s="398">
        <f t="shared" ref="AF5:AF68" si="9">M5/J5</f>
        <v>0.96405405405405331</v>
      </c>
      <c r="AG5" s="616">
        <f>AF7</f>
        <v>0.96066339066339002</v>
      </c>
    </row>
    <row r="6" spans="1:33">
      <c r="A6" s="644" t="s">
        <v>274</v>
      </c>
      <c r="B6" s="27" t="s">
        <v>5</v>
      </c>
      <c r="C6" s="657" t="s">
        <v>19</v>
      </c>
      <c r="D6" s="657"/>
      <c r="E6" s="27">
        <v>50.98</v>
      </c>
      <c r="F6" s="404">
        <v>2457</v>
      </c>
      <c r="G6" s="397">
        <f t="shared" si="0"/>
        <v>125257.85999999999</v>
      </c>
      <c r="H6" s="31" t="s">
        <v>40</v>
      </c>
      <c r="I6" s="402">
        <v>16</v>
      </c>
      <c r="J6" s="29">
        <v>2000</v>
      </c>
      <c r="K6" s="12">
        <f t="shared" si="1"/>
        <v>125</v>
      </c>
      <c r="L6" s="402">
        <v>16</v>
      </c>
      <c r="M6" s="13">
        <f t="shared" si="2"/>
        <v>1914.5454545454536</v>
      </c>
      <c r="N6" s="12">
        <f t="shared" si="3"/>
        <v>119.65909090909085</v>
      </c>
      <c r="O6" s="14">
        <f t="shared" si="4"/>
        <v>0</v>
      </c>
      <c r="P6" s="15">
        <f t="shared" si="5"/>
        <v>-5.3409090909091503</v>
      </c>
      <c r="Q6" s="398">
        <f t="shared" si="6"/>
        <v>0.95727272727272683</v>
      </c>
      <c r="R6" s="616"/>
      <c r="S6" s="32">
        <v>0.76527777777777783</v>
      </c>
      <c r="T6" s="32">
        <v>0.81875000000000009</v>
      </c>
      <c r="U6" s="397">
        <f t="shared" ref="U6" si="10">IF(S6=TIME(17,0,0),"",(S6-T5)*24*60)</f>
        <v>7.9999999999999716</v>
      </c>
      <c r="V6" s="403">
        <f t="shared" si="7"/>
        <v>77.000000000000043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-85.454545454546405</v>
      </c>
      <c r="AF6" s="398">
        <f t="shared" si="9"/>
        <v>0.95727272727272683</v>
      </c>
      <c r="AG6" s="616"/>
    </row>
    <row r="7" spans="1:33">
      <c r="A7" s="644" t="s">
        <v>2052</v>
      </c>
      <c r="B7" s="27" t="s">
        <v>275</v>
      </c>
      <c r="C7" s="658"/>
      <c r="D7" s="658"/>
      <c r="E7" s="399"/>
      <c r="F7" s="28"/>
      <c r="G7" s="12"/>
      <c r="H7" s="404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1921.3267813267801</v>
      </c>
      <c r="N7" s="12">
        <f t="shared" si="3"/>
        <v>123.95656653721161</v>
      </c>
      <c r="O7" s="14">
        <f t="shared" si="4"/>
        <v>0</v>
      </c>
      <c r="P7" s="15">
        <f t="shared" si="5"/>
        <v>-5.0756915273045138</v>
      </c>
      <c r="Q7" s="398">
        <f t="shared" si="6"/>
        <v>0.96066339066339002</v>
      </c>
      <c r="R7" s="616"/>
      <c r="S7" s="32"/>
      <c r="T7" s="32"/>
      <c r="U7" s="397"/>
      <c r="V7" s="40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-78.673218673219935</v>
      </c>
      <c r="AF7" s="398">
        <f t="shared" si="9"/>
        <v>0.96066339066339002</v>
      </c>
      <c r="AG7" s="616"/>
    </row>
    <row r="8" spans="1:33" ht="15.75" customHeight="1">
      <c r="A8" s="640" t="s">
        <v>2053</v>
      </c>
      <c r="B8" s="27" t="s">
        <v>8</v>
      </c>
      <c r="C8" s="638" t="s">
        <v>10</v>
      </c>
      <c r="D8" s="639"/>
      <c r="E8" s="27">
        <v>39.799999999999997</v>
      </c>
      <c r="F8" s="404">
        <v>3400</v>
      </c>
      <c r="G8" s="397">
        <f t="shared" ref="G8:G12" si="11">E8*F8</f>
        <v>135320</v>
      </c>
      <c r="H8" s="31">
        <v>2</v>
      </c>
      <c r="I8" s="402">
        <v>17</v>
      </c>
      <c r="J8" s="29">
        <v>1500</v>
      </c>
      <c r="K8" s="12">
        <f t="shared" si="1"/>
        <v>88.235294117647058</v>
      </c>
      <c r="L8" s="402">
        <v>17</v>
      </c>
      <c r="M8" s="13">
        <f t="shared" ref="M8:M12" si="12">F8/V8*60</f>
        <v>1436.6197183098591</v>
      </c>
      <c r="N8" s="12">
        <f t="shared" si="3"/>
        <v>84.507042253521121</v>
      </c>
      <c r="O8" s="14">
        <f t="shared" si="4"/>
        <v>0</v>
      </c>
      <c r="P8" s="15">
        <f t="shared" si="5"/>
        <v>-3.7282518641259372</v>
      </c>
      <c r="Q8" s="398">
        <f t="shared" si="6"/>
        <v>0.95774647887323938</v>
      </c>
      <c r="R8" s="616">
        <f>Q13</f>
        <v>0.95598921893450128</v>
      </c>
      <c r="S8" s="32">
        <v>8.3333333333333329E-2</v>
      </c>
      <c r="T8" s="32">
        <v>0.18194444444444444</v>
      </c>
      <c r="U8" s="397"/>
      <c r="V8" s="403">
        <f t="shared" ref="V8:V12" si="13">(T8-S8)*24*60</f>
        <v>142</v>
      </c>
      <c r="W8" s="16">
        <f>T8</f>
        <v>0.18194444444444444</v>
      </c>
      <c r="X8" s="16">
        <f>S9</f>
        <v>0.20138888888888887</v>
      </c>
      <c r="Y8" s="16"/>
      <c r="Z8" s="16"/>
      <c r="AA8" s="612"/>
      <c r="AB8" s="612"/>
      <c r="AC8" s="18">
        <v>5</v>
      </c>
      <c r="AD8" s="18"/>
      <c r="AE8" s="14">
        <f t="shared" si="8"/>
        <v>-63.380281690140919</v>
      </c>
      <c r="AF8" s="398">
        <f t="shared" si="9"/>
        <v>0.95774647887323938</v>
      </c>
      <c r="AG8" s="616">
        <f>AF13</f>
        <v>0.95598921893450128</v>
      </c>
    </row>
    <row r="9" spans="1:33" ht="15.75" customHeight="1">
      <c r="A9" s="640" t="s">
        <v>2054</v>
      </c>
      <c r="B9" s="27" t="s">
        <v>8</v>
      </c>
      <c r="C9" s="638" t="s">
        <v>63</v>
      </c>
      <c r="D9" s="639"/>
      <c r="E9" s="27">
        <v>39.46</v>
      </c>
      <c r="F9" s="404">
        <v>3102</v>
      </c>
      <c r="G9" s="397">
        <f t="shared" si="11"/>
        <v>122404.92</v>
      </c>
      <c r="H9" s="31" t="s">
        <v>40</v>
      </c>
      <c r="I9" s="402">
        <v>15</v>
      </c>
      <c r="J9" s="29">
        <v>1500</v>
      </c>
      <c r="K9" s="12">
        <f t="shared" si="1"/>
        <v>100</v>
      </c>
      <c r="L9" s="402">
        <v>15</v>
      </c>
      <c r="M9" s="13">
        <f t="shared" si="12"/>
        <v>1431.6923076923078</v>
      </c>
      <c r="N9" s="12">
        <f t="shared" si="3"/>
        <v>95.446153846153862</v>
      </c>
      <c r="O9" s="14">
        <f t="shared" si="4"/>
        <v>0</v>
      </c>
      <c r="P9" s="15">
        <f t="shared" si="5"/>
        <v>-4.5538461538461377</v>
      </c>
      <c r="Q9" s="398">
        <f t="shared" si="6"/>
        <v>0.95446153846153858</v>
      </c>
      <c r="R9" s="616"/>
      <c r="S9" s="32">
        <v>0.20138888888888887</v>
      </c>
      <c r="T9" s="32">
        <v>0.29166666666666663</v>
      </c>
      <c r="U9" s="397">
        <f t="shared" ref="U9:U12" si="14">IF(S9=TIME(17,0,0),"",(S9-T8)*24*60)</f>
        <v>27.999999999999979</v>
      </c>
      <c r="V9" s="403">
        <f t="shared" si="13"/>
        <v>129.99999999999997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-68.30769230769215</v>
      </c>
      <c r="AF9" s="398">
        <f t="shared" si="9"/>
        <v>0.95446153846153858</v>
      </c>
      <c r="AG9" s="616"/>
    </row>
    <row r="10" spans="1:33" ht="15.75" customHeight="1">
      <c r="A10" s="640" t="s">
        <v>175</v>
      </c>
      <c r="B10" s="27" t="s">
        <v>8</v>
      </c>
      <c r="C10" s="638" t="s">
        <v>74</v>
      </c>
      <c r="D10" s="639"/>
      <c r="E10" s="27">
        <v>39.520000000000003</v>
      </c>
      <c r="F10" s="404">
        <v>2465</v>
      </c>
      <c r="G10" s="397">
        <f t="shared" si="11"/>
        <v>97416.8</v>
      </c>
      <c r="H10" s="31" t="s">
        <v>40</v>
      </c>
      <c r="I10" s="402">
        <v>19</v>
      </c>
      <c r="J10" s="29">
        <v>1500</v>
      </c>
      <c r="K10" s="12">
        <f t="shared" si="1"/>
        <v>78.94736842105263</v>
      </c>
      <c r="L10" s="402">
        <v>19</v>
      </c>
      <c r="M10" s="13">
        <f t="shared" si="12"/>
        <v>1435.922330097088</v>
      </c>
      <c r="N10" s="12">
        <f t="shared" si="3"/>
        <v>75.57485947879411</v>
      </c>
      <c r="O10" s="14">
        <f t="shared" si="4"/>
        <v>0</v>
      </c>
      <c r="P10" s="15">
        <f t="shared" si="5"/>
        <v>-3.3725089422585199</v>
      </c>
      <c r="Q10" s="398">
        <f t="shared" si="6"/>
        <v>0.95728155339805876</v>
      </c>
      <c r="R10" s="616"/>
      <c r="S10" s="32">
        <v>0.29652777777777772</v>
      </c>
      <c r="T10" s="32">
        <v>0.36805555555555547</v>
      </c>
      <c r="U10" s="397">
        <f t="shared" si="14"/>
        <v>6.9999999999999751</v>
      </c>
      <c r="V10" s="403">
        <f t="shared" si="13"/>
        <v>102.99999999999996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-64.077669902912021</v>
      </c>
      <c r="AF10" s="398">
        <f t="shared" si="9"/>
        <v>0.95728155339805865</v>
      </c>
      <c r="AG10" s="616"/>
    </row>
    <row r="11" spans="1:33" ht="15.75" customHeight="1">
      <c r="A11" s="640" t="s">
        <v>2054</v>
      </c>
      <c r="B11" s="27" t="s">
        <v>8</v>
      </c>
      <c r="C11" s="638" t="s">
        <v>9</v>
      </c>
      <c r="D11" s="639"/>
      <c r="E11" s="27">
        <v>39.619999999999997</v>
      </c>
      <c r="F11" s="404">
        <v>4260</v>
      </c>
      <c r="G11" s="397">
        <f t="shared" si="11"/>
        <v>168781.19999999998</v>
      </c>
      <c r="H11" s="31" t="s">
        <v>40</v>
      </c>
      <c r="I11" s="402">
        <v>19</v>
      </c>
      <c r="J11" s="29">
        <v>1500</v>
      </c>
      <c r="K11" s="12">
        <f t="shared" si="1"/>
        <v>78.94736842105263</v>
      </c>
      <c r="L11" s="402">
        <v>19</v>
      </c>
      <c r="M11" s="13">
        <f t="shared" si="12"/>
        <v>1435.9550561797753</v>
      </c>
      <c r="N11" s="12">
        <f t="shared" si="3"/>
        <v>75.576581904198704</v>
      </c>
      <c r="O11" s="14">
        <f t="shared" si="4"/>
        <v>0</v>
      </c>
      <c r="P11" s="15">
        <f t="shared" si="5"/>
        <v>-3.3707865168539257</v>
      </c>
      <c r="Q11" s="398">
        <f t="shared" si="6"/>
        <v>0.95730337078651695</v>
      </c>
      <c r="R11" s="616"/>
      <c r="S11" s="32">
        <v>0.37152777777777768</v>
      </c>
      <c r="T11" s="32">
        <v>0.4951388888888888</v>
      </c>
      <c r="U11" s="397">
        <f t="shared" si="14"/>
        <v>4.9999999999999822</v>
      </c>
      <c r="V11" s="403">
        <f t="shared" si="13"/>
        <v>178</v>
      </c>
      <c r="W11" s="16">
        <f>T11</f>
        <v>0.4951388888888888</v>
      </c>
      <c r="X11" s="16">
        <f>S12</f>
        <v>0.53611111111111098</v>
      </c>
      <c r="Y11" s="16"/>
      <c r="Z11" s="16"/>
      <c r="AA11" s="607"/>
      <c r="AB11" s="608"/>
      <c r="AC11" s="18"/>
      <c r="AD11" s="18"/>
      <c r="AE11" s="14">
        <f t="shared" si="8"/>
        <v>-64.044943820224717</v>
      </c>
      <c r="AF11" s="398">
        <f t="shared" si="9"/>
        <v>0.95730337078651684</v>
      </c>
      <c r="AG11" s="616"/>
    </row>
    <row r="12" spans="1:33" ht="15.75" customHeight="1">
      <c r="A12" s="640" t="s">
        <v>175</v>
      </c>
      <c r="B12" s="27" t="s">
        <v>8</v>
      </c>
      <c r="C12" s="638" t="s">
        <v>10</v>
      </c>
      <c r="D12" s="639"/>
      <c r="E12" s="27">
        <v>39.799999999999997</v>
      </c>
      <c r="F12" s="404">
        <v>2645</v>
      </c>
      <c r="G12" s="397">
        <f t="shared" si="11"/>
        <v>105270.99999999999</v>
      </c>
      <c r="H12" s="31" t="s">
        <v>40</v>
      </c>
      <c r="I12" s="402">
        <v>17</v>
      </c>
      <c r="J12" s="29">
        <v>1500</v>
      </c>
      <c r="K12" s="12">
        <f t="shared" si="1"/>
        <v>88.235294117647058</v>
      </c>
      <c r="L12" s="402">
        <v>17</v>
      </c>
      <c r="M12" s="13">
        <f t="shared" si="12"/>
        <v>1429.7297297297287</v>
      </c>
      <c r="N12" s="12">
        <f t="shared" si="3"/>
        <v>84.101748807631097</v>
      </c>
      <c r="O12" s="14">
        <f t="shared" si="4"/>
        <v>0</v>
      </c>
      <c r="P12" s="15">
        <f t="shared" si="5"/>
        <v>-4.1335453100159611</v>
      </c>
      <c r="Q12" s="398">
        <f t="shared" si="6"/>
        <v>0.95315315315315241</v>
      </c>
      <c r="R12" s="616"/>
      <c r="S12" s="32">
        <v>0.53611111111111098</v>
      </c>
      <c r="T12" s="32">
        <v>0.61319444444444438</v>
      </c>
      <c r="U12" s="397">
        <f t="shared" si="14"/>
        <v>58.99999999999995</v>
      </c>
      <c r="V12" s="403">
        <f t="shared" si="13"/>
        <v>111.00000000000009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-70.27027027027134</v>
      </c>
      <c r="AF12" s="398">
        <f t="shared" si="9"/>
        <v>0.95315315315315241</v>
      </c>
      <c r="AG12" s="616"/>
    </row>
    <row r="13" spans="1:33" ht="16.5" customHeight="1">
      <c r="A13" s="640" t="s">
        <v>2055</v>
      </c>
      <c r="B13" s="27" t="s">
        <v>275</v>
      </c>
      <c r="C13" s="658"/>
      <c r="D13" s="658"/>
      <c r="E13" s="399"/>
      <c r="F13" s="29"/>
      <c r="G13" s="13"/>
      <c r="H13" s="404"/>
      <c r="I13" s="21">
        <v>17.399999999999999</v>
      </c>
      <c r="J13" s="29">
        <v>1500</v>
      </c>
      <c r="K13" s="12">
        <f t="shared" si="1"/>
        <v>86.206896551724142</v>
      </c>
      <c r="L13" s="21">
        <v>17.399999999999999</v>
      </c>
      <c r="M13" s="13">
        <f>AVERAGE(M8:M12)</f>
        <v>1433.9838284017519</v>
      </c>
      <c r="N13" s="12">
        <f t="shared" si="3"/>
        <v>82.412863701250117</v>
      </c>
      <c r="O13" s="14">
        <f t="shared" si="4"/>
        <v>0</v>
      </c>
      <c r="P13" s="15">
        <f t="shared" si="5"/>
        <v>-3.7940328504740251</v>
      </c>
      <c r="Q13" s="398">
        <f t="shared" si="6"/>
        <v>0.95598921893450128</v>
      </c>
      <c r="R13" s="616"/>
      <c r="S13" s="32"/>
      <c r="T13" s="32"/>
      <c r="U13" s="12"/>
      <c r="V13" s="403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-66.016171598248093</v>
      </c>
      <c r="AF13" s="398">
        <f t="shared" si="9"/>
        <v>0.95598921893450128</v>
      </c>
      <c r="AG13" s="616"/>
    </row>
    <row r="14" spans="1:33" ht="16.5" customHeight="1">
      <c r="A14" s="636" t="s">
        <v>2056</v>
      </c>
      <c r="B14" s="404" t="s">
        <v>1134</v>
      </c>
      <c r="C14" s="659" t="s">
        <v>1035</v>
      </c>
      <c r="D14" s="659"/>
      <c r="E14" s="27">
        <v>31.11</v>
      </c>
      <c r="F14" s="404">
        <v>3294</v>
      </c>
      <c r="G14" s="397">
        <f t="shared" ref="G14:G21" si="15">E14*F14</f>
        <v>102476.34</v>
      </c>
      <c r="H14" s="31" t="s">
        <v>40</v>
      </c>
      <c r="I14" s="402">
        <v>14</v>
      </c>
      <c r="J14" s="29">
        <v>2000</v>
      </c>
      <c r="K14" s="12">
        <f t="shared" si="1"/>
        <v>142.85714285714286</v>
      </c>
      <c r="L14" s="402">
        <v>14</v>
      </c>
      <c r="M14" s="13">
        <f t="shared" ref="M14:M21" si="16">F14/V14*60</f>
        <v>1918.8349514563108</v>
      </c>
      <c r="N14" s="12">
        <f t="shared" si="3"/>
        <v>137.05963938973647</v>
      </c>
      <c r="O14" s="14">
        <f t="shared" si="4"/>
        <v>0</v>
      </c>
      <c r="P14" s="15">
        <f t="shared" si="5"/>
        <v>-5.7975034674063863</v>
      </c>
      <c r="Q14" s="398">
        <f t="shared" si="6"/>
        <v>0.95941747572815528</v>
      </c>
      <c r="R14" s="616">
        <f>Q22</f>
        <v>0.95860506296730175</v>
      </c>
      <c r="S14" s="32">
        <v>8.3333333333333329E-2</v>
      </c>
      <c r="T14" s="32">
        <v>0.15486111111111112</v>
      </c>
      <c r="U14" s="397"/>
      <c r="V14" s="403">
        <f t="shared" ref="V14:V21" si="17">(T14-S14)*24*60</f>
        <v>103</v>
      </c>
      <c r="W14" s="16">
        <f>T14</f>
        <v>0.15486111111111112</v>
      </c>
      <c r="X14" s="16">
        <f>S15</f>
        <v>0.17291666666666666</v>
      </c>
      <c r="Y14" s="20"/>
      <c r="Z14" s="20"/>
      <c r="AA14" s="612"/>
      <c r="AB14" s="612"/>
      <c r="AC14" s="18">
        <v>8</v>
      </c>
      <c r="AD14" s="18"/>
      <c r="AE14" s="14">
        <f t="shared" si="8"/>
        <v>-81.165048543689181</v>
      </c>
      <c r="AF14" s="398">
        <f t="shared" si="9"/>
        <v>0.95941747572815539</v>
      </c>
      <c r="AG14" s="616">
        <f>AF22</f>
        <v>0.95860506296730164</v>
      </c>
    </row>
    <row r="15" spans="1:33" ht="16.5" customHeight="1">
      <c r="A15" s="637" t="s">
        <v>278</v>
      </c>
      <c r="B15" s="404" t="s">
        <v>11</v>
      </c>
      <c r="C15" s="659" t="s">
        <v>67</v>
      </c>
      <c r="D15" s="659"/>
      <c r="E15" s="27">
        <v>38.619999999999997</v>
      </c>
      <c r="F15" s="404">
        <v>2360</v>
      </c>
      <c r="G15" s="397">
        <f t="shared" si="15"/>
        <v>91143.2</v>
      </c>
      <c r="H15" s="31" t="s">
        <v>40</v>
      </c>
      <c r="I15" s="402">
        <v>24</v>
      </c>
      <c r="J15" s="29">
        <v>1500</v>
      </c>
      <c r="K15" s="12">
        <f t="shared" si="1"/>
        <v>62.5</v>
      </c>
      <c r="L15" s="402">
        <v>24</v>
      </c>
      <c r="M15" s="13">
        <f t="shared" si="16"/>
        <v>1430.3030303030307</v>
      </c>
      <c r="N15" s="12">
        <f t="shared" si="3"/>
        <v>59.595959595959613</v>
      </c>
      <c r="O15" s="14">
        <f t="shared" si="4"/>
        <v>0</v>
      </c>
      <c r="P15" s="15">
        <f t="shared" si="5"/>
        <v>-2.9040404040403871</v>
      </c>
      <c r="Q15" s="398">
        <f t="shared" si="6"/>
        <v>0.95353535353535379</v>
      </c>
      <c r="R15" s="616"/>
      <c r="S15" s="32">
        <v>0.17291666666666666</v>
      </c>
      <c r="T15" s="32">
        <v>0.24166666666666664</v>
      </c>
      <c r="U15" s="397">
        <f t="shared" ref="U15:U21" si="18">IF(S15=TIME(17,0,0),"",(S15-T14)*24*60)</f>
        <v>25.999999999999986</v>
      </c>
      <c r="V15" s="403">
        <f t="shared" si="17"/>
        <v>98.999999999999972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-69.69696969696929</v>
      </c>
      <c r="AF15" s="398">
        <f t="shared" si="9"/>
        <v>0.95353535353535379</v>
      </c>
      <c r="AG15" s="616"/>
    </row>
    <row r="16" spans="1:33" ht="16.5" customHeight="1">
      <c r="A16" s="637" t="s">
        <v>2057</v>
      </c>
      <c r="B16" s="404" t="s">
        <v>11</v>
      </c>
      <c r="C16" s="659" t="s">
        <v>12</v>
      </c>
      <c r="D16" s="659"/>
      <c r="E16" s="27">
        <v>41</v>
      </c>
      <c r="F16" s="404">
        <v>1997</v>
      </c>
      <c r="G16" s="397">
        <f t="shared" si="15"/>
        <v>81877</v>
      </c>
      <c r="H16" s="31" t="s">
        <v>40</v>
      </c>
      <c r="I16" s="402">
        <v>26</v>
      </c>
      <c r="J16" s="29">
        <v>1500</v>
      </c>
      <c r="K16" s="12">
        <f t="shared" si="1"/>
        <v>57.692307692307693</v>
      </c>
      <c r="L16" s="402">
        <v>26</v>
      </c>
      <c r="M16" s="13">
        <f t="shared" si="16"/>
        <v>1426.4285714285709</v>
      </c>
      <c r="N16" s="12">
        <f t="shared" si="3"/>
        <v>54.862637362637344</v>
      </c>
      <c r="O16" s="14">
        <f t="shared" si="4"/>
        <v>0</v>
      </c>
      <c r="P16" s="15">
        <f t="shared" si="5"/>
        <v>-2.8296703296703498</v>
      </c>
      <c r="Q16" s="398">
        <f t="shared" si="6"/>
        <v>0.95095238095238055</v>
      </c>
      <c r="R16" s="616"/>
      <c r="S16" s="32">
        <v>0.24513888888888885</v>
      </c>
      <c r="T16" s="32">
        <v>0.3034722222222222</v>
      </c>
      <c r="U16" s="397">
        <f t="shared" si="18"/>
        <v>4.9999999999999822</v>
      </c>
      <c r="V16" s="403">
        <f t="shared" si="17"/>
        <v>84.000000000000028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-73.571428571429124</v>
      </c>
      <c r="AF16" s="398">
        <f t="shared" si="9"/>
        <v>0.95095238095238055</v>
      </c>
      <c r="AG16" s="616"/>
    </row>
    <row r="17" spans="1:33" ht="16.5" customHeight="1">
      <c r="A17" s="637" t="s">
        <v>2058</v>
      </c>
      <c r="B17" s="404" t="s">
        <v>5</v>
      </c>
      <c r="C17" s="659" t="s">
        <v>66</v>
      </c>
      <c r="D17" s="659"/>
      <c r="E17" s="27">
        <v>37.03</v>
      </c>
      <c r="F17" s="404">
        <v>3417</v>
      </c>
      <c r="G17" s="397">
        <f t="shared" si="15"/>
        <v>126531.51000000001</v>
      </c>
      <c r="H17" s="31" t="s">
        <v>40</v>
      </c>
      <c r="I17" s="402">
        <v>13</v>
      </c>
      <c r="J17" s="29">
        <v>1500</v>
      </c>
      <c r="K17" s="12">
        <f t="shared" si="1"/>
        <v>115.38461538461539</v>
      </c>
      <c r="L17" s="402">
        <v>13</v>
      </c>
      <c r="M17" s="13">
        <f t="shared" si="16"/>
        <v>1433.706293706294</v>
      </c>
      <c r="N17" s="12">
        <f t="shared" si="3"/>
        <v>110.28509951586877</v>
      </c>
      <c r="O17" s="14">
        <f t="shared" si="4"/>
        <v>0</v>
      </c>
      <c r="P17" s="15">
        <f t="shared" si="5"/>
        <v>-5.0995158687466215</v>
      </c>
      <c r="Q17" s="398">
        <f t="shared" si="6"/>
        <v>0.95580419580419596</v>
      </c>
      <c r="R17" s="616"/>
      <c r="S17" s="32">
        <v>0.30833333333333329</v>
      </c>
      <c r="T17" s="32">
        <v>0.40763888888888883</v>
      </c>
      <c r="U17" s="397">
        <f t="shared" si="18"/>
        <v>6.9999999999999751</v>
      </c>
      <c r="V17" s="403">
        <f t="shared" si="17"/>
        <v>142.99999999999997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-66.293706293706009</v>
      </c>
      <c r="AF17" s="398">
        <f t="shared" si="9"/>
        <v>0.95580419580419596</v>
      </c>
      <c r="AG17" s="616"/>
    </row>
    <row r="18" spans="1:33" ht="16.5" customHeight="1">
      <c r="A18" s="637" t="s">
        <v>278</v>
      </c>
      <c r="B18" s="404" t="s">
        <v>5</v>
      </c>
      <c r="C18" s="659" t="s">
        <v>6</v>
      </c>
      <c r="D18" s="659"/>
      <c r="E18" s="27">
        <v>50.67</v>
      </c>
      <c r="F18" s="404">
        <v>1681</v>
      </c>
      <c r="G18" s="397">
        <f t="shared" si="15"/>
        <v>85176.27</v>
      </c>
      <c r="H18" s="31" t="s">
        <v>40</v>
      </c>
      <c r="I18" s="402">
        <v>17</v>
      </c>
      <c r="J18" s="29">
        <v>2000</v>
      </c>
      <c r="K18" s="12">
        <f t="shared" si="1"/>
        <v>117.64705882352941</v>
      </c>
      <c r="L18" s="402">
        <v>17</v>
      </c>
      <c r="M18" s="13">
        <f t="shared" si="16"/>
        <v>1903.0188679245293</v>
      </c>
      <c r="N18" s="12">
        <f t="shared" si="3"/>
        <v>111.94228634850172</v>
      </c>
      <c r="O18" s="14">
        <f t="shared" si="4"/>
        <v>0</v>
      </c>
      <c r="P18" s="15">
        <f t="shared" si="5"/>
        <v>-5.7047724750276814</v>
      </c>
      <c r="Q18" s="398">
        <f t="shared" si="6"/>
        <v>0.95150943396226473</v>
      </c>
      <c r="R18" s="616"/>
      <c r="S18" s="32">
        <v>0.70833333333333337</v>
      </c>
      <c r="T18" s="32">
        <v>0.74513888888888891</v>
      </c>
      <c r="U18" s="397" t="str">
        <f t="shared" si="18"/>
        <v/>
      </c>
      <c r="V18" s="403">
        <f t="shared" si="17"/>
        <v>52.999999999999972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-96.981132075470668</v>
      </c>
      <c r="AF18" s="398">
        <f t="shared" si="9"/>
        <v>0.95150943396226462</v>
      </c>
      <c r="AG18" s="616"/>
    </row>
    <row r="19" spans="1:33" ht="16.5" customHeight="1">
      <c r="A19" s="637" t="s">
        <v>2058</v>
      </c>
      <c r="B19" s="404" t="s">
        <v>5</v>
      </c>
      <c r="C19" s="400" t="s">
        <v>615</v>
      </c>
      <c r="D19" s="401"/>
      <c r="E19" s="27">
        <v>54.5</v>
      </c>
      <c r="F19" s="404">
        <v>1000</v>
      </c>
      <c r="G19" s="397">
        <f t="shared" si="15"/>
        <v>54500</v>
      </c>
      <c r="H19" s="31">
        <v>2</v>
      </c>
      <c r="I19" s="402">
        <v>20</v>
      </c>
      <c r="J19" s="29">
        <v>1500</v>
      </c>
      <c r="K19" s="12">
        <f t="shared" si="1"/>
        <v>75</v>
      </c>
      <c r="L19" s="402">
        <v>20</v>
      </c>
      <c r="M19" s="13">
        <f t="shared" si="16"/>
        <v>1463.4146341463411</v>
      </c>
      <c r="N19" s="12">
        <f t="shared" si="3"/>
        <v>73.17073170731706</v>
      </c>
      <c r="O19" s="14">
        <f t="shared" si="4"/>
        <v>0</v>
      </c>
      <c r="P19" s="15">
        <f t="shared" si="5"/>
        <v>-1.82926829268294</v>
      </c>
      <c r="Q19" s="398">
        <f t="shared" si="6"/>
        <v>0.97560975609756084</v>
      </c>
      <c r="R19" s="616"/>
      <c r="S19" s="32">
        <v>0.75</v>
      </c>
      <c r="T19" s="32">
        <v>0.77847222222222223</v>
      </c>
      <c r="U19" s="397">
        <f t="shared" si="18"/>
        <v>6.9999999999999751</v>
      </c>
      <c r="V19" s="403">
        <f t="shared" si="17"/>
        <v>41.000000000000014</v>
      </c>
      <c r="W19" s="16"/>
      <c r="X19" s="16"/>
      <c r="Y19" s="19"/>
      <c r="Z19" s="19"/>
      <c r="AA19" s="393"/>
      <c r="AB19" s="394"/>
      <c r="AC19" s="18"/>
      <c r="AD19" s="18"/>
      <c r="AE19" s="14">
        <f t="shared" si="8"/>
        <v>-36.585365853658914</v>
      </c>
      <c r="AF19" s="398">
        <f t="shared" si="9"/>
        <v>0.97560975609756073</v>
      </c>
      <c r="AG19" s="616"/>
    </row>
    <row r="20" spans="1:33" ht="16.5" customHeight="1">
      <c r="A20" s="637" t="s">
        <v>278</v>
      </c>
      <c r="B20" s="404" t="s">
        <v>5</v>
      </c>
      <c r="C20" s="400" t="s">
        <v>18</v>
      </c>
      <c r="D20" s="401"/>
      <c r="E20" s="27">
        <v>50.49</v>
      </c>
      <c r="F20" s="404">
        <v>1997</v>
      </c>
      <c r="G20" s="397">
        <f t="shared" si="15"/>
        <v>100828.53</v>
      </c>
      <c r="H20" s="31" t="s">
        <v>40</v>
      </c>
      <c r="I20" s="402">
        <v>15</v>
      </c>
      <c r="J20" s="29">
        <v>2000</v>
      </c>
      <c r="K20" s="12">
        <f t="shared" si="1"/>
        <v>133.33333333333334</v>
      </c>
      <c r="L20" s="402">
        <v>15</v>
      </c>
      <c r="M20" s="13">
        <f t="shared" si="16"/>
        <v>1932.5806451612921</v>
      </c>
      <c r="N20" s="12">
        <f t="shared" si="3"/>
        <v>128.83870967741947</v>
      </c>
      <c r="O20" s="14">
        <f t="shared" si="4"/>
        <v>0</v>
      </c>
      <c r="P20" s="15">
        <f t="shared" si="5"/>
        <v>-4.4946236559138697</v>
      </c>
      <c r="Q20" s="398">
        <f t="shared" si="6"/>
        <v>0.96629032258064596</v>
      </c>
      <c r="R20" s="616"/>
      <c r="S20" s="32">
        <v>0.78333333333333333</v>
      </c>
      <c r="T20" s="32">
        <v>0.82638888888888884</v>
      </c>
      <c r="U20" s="397">
        <f t="shared" si="18"/>
        <v>6.9999999999999751</v>
      </c>
      <c r="V20" s="403">
        <f t="shared" si="17"/>
        <v>61.999999999999943</v>
      </c>
      <c r="W20" s="16">
        <f>T20</f>
        <v>0.82638888888888884</v>
      </c>
      <c r="X20" s="16">
        <f>S21</f>
        <v>0.86597222222222214</v>
      </c>
      <c r="Y20" s="19"/>
      <c r="Z20" s="19"/>
      <c r="AA20" s="393"/>
      <c r="AB20" s="394"/>
      <c r="AC20" s="18"/>
      <c r="AD20" s="18"/>
      <c r="AE20" s="14">
        <f t="shared" si="8"/>
        <v>-67.419354838707932</v>
      </c>
      <c r="AF20" s="398">
        <f t="shared" si="9"/>
        <v>0.96629032258064607</v>
      </c>
      <c r="AG20" s="616"/>
    </row>
    <row r="21" spans="1:33" ht="16.5" customHeight="1">
      <c r="A21" s="637" t="s">
        <v>278</v>
      </c>
      <c r="B21" s="404" t="s">
        <v>5</v>
      </c>
      <c r="C21" s="400" t="s">
        <v>615</v>
      </c>
      <c r="D21" s="401"/>
      <c r="E21" s="27">
        <v>54.5</v>
      </c>
      <c r="F21" s="404">
        <v>1409</v>
      </c>
      <c r="G21" s="397">
        <f t="shared" si="15"/>
        <v>76790.5</v>
      </c>
      <c r="H21" s="31" t="s">
        <v>40</v>
      </c>
      <c r="I21" s="402">
        <v>20</v>
      </c>
      <c r="J21" s="29">
        <v>1500</v>
      </c>
      <c r="K21" s="12">
        <f t="shared" si="1"/>
        <v>75</v>
      </c>
      <c r="L21" s="402">
        <v>20</v>
      </c>
      <c r="M21" s="13">
        <f t="shared" si="16"/>
        <v>1432.8813559322045</v>
      </c>
      <c r="N21" s="12">
        <f t="shared" si="3"/>
        <v>71.64406779661023</v>
      </c>
      <c r="O21" s="14">
        <f t="shared" si="4"/>
        <v>0</v>
      </c>
      <c r="P21" s="15">
        <f t="shared" si="5"/>
        <v>-3.3559322033897701</v>
      </c>
      <c r="Q21" s="398">
        <f t="shared" si="6"/>
        <v>0.95525423728813641</v>
      </c>
      <c r="R21" s="616"/>
      <c r="S21" s="32">
        <v>0.86597222222222214</v>
      </c>
      <c r="T21" s="32">
        <v>0.90694444444444433</v>
      </c>
      <c r="U21" s="397">
        <f t="shared" si="18"/>
        <v>56.999999999999957</v>
      </c>
      <c r="V21" s="403">
        <f t="shared" si="17"/>
        <v>58.99999999999995</v>
      </c>
      <c r="W21" s="16"/>
      <c r="X21" s="16"/>
      <c r="Y21" s="19"/>
      <c r="Z21" s="19"/>
      <c r="AA21" s="393"/>
      <c r="AB21" s="394"/>
      <c r="AC21" s="18"/>
      <c r="AD21" s="18"/>
      <c r="AE21" s="14">
        <f t="shared" si="8"/>
        <v>-67.118644067795458</v>
      </c>
      <c r="AF21" s="398">
        <f t="shared" si="9"/>
        <v>0.95525423728813641</v>
      </c>
      <c r="AG21" s="616"/>
    </row>
    <row r="22" spans="1:33" ht="16.5" customHeight="1">
      <c r="A22" s="637" t="s">
        <v>278</v>
      </c>
      <c r="B22" s="27" t="s">
        <v>2059</v>
      </c>
      <c r="C22" s="658"/>
      <c r="D22" s="658"/>
      <c r="E22" s="399"/>
      <c r="F22" s="28"/>
      <c r="G22" s="12"/>
      <c r="H22" s="404"/>
      <c r="I22" s="21">
        <v>18.625</v>
      </c>
      <c r="J22" s="29">
        <v>1687.5</v>
      </c>
      <c r="K22" s="12">
        <f t="shared" si="1"/>
        <v>90.604026845637577</v>
      </c>
      <c r="L22" s="21">
        <v>18.625</v>
      </c>
      <c r="M22" s="13">
        <f>AVERAGE(M14:M21)</f>
        <v>1617.6460437573214</v>
      </c>
      <c r="N22" s="12">
        <f t="shared" si="3"/>
        <v>86.853478859453503</v>
      </c>
      <c r="O22" s="14">
        <f t="shared" si="4"/>
        <v>0</v>
      </c>
      <c r="P22" s="15">
        <f t="shared" si="5"/>
        <v>-3.750547986184074</v>
      </c>
      <c r="Q22" s="398">
        <f t="shared" si="6"/>
        <v>0.95860506296730175</v>
      </c>
      <c r="R22" s="616"/>
      <c r="S22" s="32"/>
      <c r="T22" s="32"/>
      <c r="U22" s="397"/>
      <c r="V22" s="403"/>
      <c r="W22" s="12"/>
      <c r="X22" s="12"/>
      <c r="Y22" s="22">
        <f>SUM(Y14:Y21)</f>
        <v>0</v>
      </c>
      <c r="Z22" s="22">
        <f>SUM(Z14:Z21)</f>
        <v>0</v>
      </c>
      <c r="AA22" s="611"/>
      <c r="AB22" s="611"/>
      <c r="AC22" s="22">
        <v>8</v>
      </c>
      <c r="AD22" s="22">
        <f>SUM(AD14:AD21)</f>
        <v>0</v>
      </c>
      <c r="AE22" s="14">
        <f t="shared" si="8"/>
        <v>-69.853956242678578</v>
      </c>
      <c r="AF22" s="398">
        <f t="shared" si="9"/>
        <v>0.95860506296730164</v>
      </c>
      <c r="AG22" s="616"/>
    </row>
    <row r="23" spans="1:33" ht="15.75" customHeight="1">
      <c r="A23" s="634" t="s">
        <v>280</v>
      </c>
      <c r="B23" s="27" t="s">
        <v>5</v>
      </c>
      <c r="C23" s="659" t="s">
        <v>16</v>
      </c>
      <c r="D23" s="659"/>
      <c r="E23" s="27">
        <v>50.67</v>
      </c>
      <c r="F23" s="404">
        <v>2190</v>
      </c>
      <c r="G23" s="397">
        <f t="shared" ref="G23:G29" si="19">E23*F23</f>
        <v>110967.3</v>
      </c>
      <c r="H23" s="31" t="s">
        <v>40</v>
      </c>
      <c r="I23" s="402">
        <v>17</v>
      </c>
      <c r="J23" s="29">
        <v>2000</v>
      </c>
      <c r="K23" s="12">
        <f t="shared" si="1"/>
        <v>117.64705882352941</v>
      </c>
      <c r="L23" s="402">
        <v>17</v>
      </c>
      <c r="M23" s="13">
        <f t="shared" ref="M23:M29" si="20">F23/V23*60</f>
        <v>1904.3478260869576</v>
      </c>
      <c r="N23" s="12">
        <f t="shared" si="3"/>
        <v>112.02046035805633</v>
      </c>
      <c r="O23" s="14">
        <f t="shared" si="4"/>
        <v>0</v>
      </c>
      <c r="P23" s="15">
        <f t="shared" si="5"/>
        <v>-5.6265984654730801</v>
      </c>
      <c r="Q23" s="398">
        <f t="shared" si="6"/>
        <v>0.95217391304347887</v>
      </c>
      <c r="R23" s="616">
        <f>Q30</f>
        <v>0.95800594647581849</v>
      </c>
      <c r="S23" s="32">
        <v>0.20833333333333334</v>
      </c>
      <c r="T23" s="32">
        <v>0.25624999999999998</v>
      </c>
      <c r="U23" s="397"/>
      <c r="V23" s="403">
        <f t="shared" ref="V23:V29" si="21">(T23-S23)*24*60</f>
        <v>68.999999999999957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-95.652173913042361</v>
      </c>
      <c r="AF23" s="398">
        <f t="shared" si="9"/>
        <v>0.95217391304347887</v>
      </c>
      <c r="AG23" s="616">
        <f>AF30</f>
        <v>0.95800594647581849</v>
      </c>
    </row>
    <row r="24" spans="1:33" ht="15.75" customHeight="1">
      <c r="A24" s="635" t="s">
        <v>280</v>
      </c>
      <c r="B24" s="27" t="s">
        <v>5</v>
      </c>
      <c r="C24" s="659" t="s">
        <v>17</v>
      </c>
      <c r="D24" s="659"/>
      <c r="E24" s="27">
        <v>57.73</v>
      </c>
      <c r="F24" s="404">
        <v>2692</v>
      </c>
      <c r="G24" s="397">
        <f t="shared" si="19"/>
        <v>155409.16</v>
      </c>
      <c r="H24" s="31" t="s">
        <v>40</v>
      </c>
      <c r="I24" s="402">
        <v>14</v>
      </c>
      <c r="J24" s="29">
        <v>2000</v>
      </c>
      <c r="K24" s="12">
        <f t="shared" si="1"/>
        <v>142.85714285714286</v>
      </c>
      <c r="L24" s="402">
        <v>14</v>
      </c>
      <c r="M24" s="13">
        <f t="shared" si="20"/>
        <v>1900.2352941176466</v>
      </c>
      <c r="N24" s="12">
        <f t="shared" si="3"/>
        <v>135.73109243697476</v>
      </c>
      <c r="O24" s="14">
        <f t="shared" si="4"/>
        <v>0</v>
      </c>
      <c r="P24" s="15">
        <f t="shared" si="5"/>
        <v>-7.1260504201680988</v>
      </c>
      <c r="Q24" s="398">
        <f t="shared" si="6"/>
        <v>0.95011764705882329</v>
      </c>
      <c r="R24" s="616"/>
      <c r="S24" s="32">
        <v>0.26111111111111107</v>
      </c>
      <c r="T24" s="32">
        <v>0.32013888888888886</v>
      </c>
      <c r="U24" s="397">
        <f t="shared" ref="U24:U29" si="22">IF(S24=TIME(17,0,0),"",(S24-T23)*24*60)</f>
        <v>6.9999999999999751</v>
      </c>
      <c r="V24" s="403">
        <f t="shared" si="21"/>
        <v>85.000000000000014</v>
      </c>
      <c r="W24" s="16"/>
      <c r="X24" s="397"/>
      <c r="Y24" s="397"/>
      <c r="Z24" s="397"/>
      <c r="AA24" s="612"/>
      <c r="AB24" s="612"/>
      <c r="AC24" s="18"/>
      <c r="AD24" s="18"/>
      <c r="AE24" s="14">
        <f t="shared" si="8"/>
        <v>-99.764705882353383</v>
      </c>
      <c r="AF24" s="398">
        <f t="shared" si="9"/>
        <v>0.95011764705882329</v>
      </c>
      <c r="AG24" s="616"/>
    </row>
    <row r="25" spans="1:33" ht="15.75" customHeight="1">
      <c r="A25" s="635" t="s">
        <v>280</v>
      </c>
      <c r="B25" s="27" t="s">
        <v>5</v>
      </c>
      <c r="C25" s="659" t="s">
        <v>60</v>
      </c>
      <c r="D25" s="659"/>
      <c r="E25" s="27">
        <v>53.27</v>
      </c>
      <c r="F25" s="404">
        <v>1865</v>
      </c>
      <c r="G25" s="397">
        <f t="shared" si="19"/>
        <v>99348.55</v>
      </c>
      <c r="H25" s="31" t="s">
        <v>40</v>
      </c>
      <c r="I25" s="402">
        <v>16</v>
      </c>
      <c r="J25" s="29">
        <v>2000</v>
      </c>
      <c r="K25" s="12">
        <f t="shared" si="1"/>
        <v>125</v>
      </c>
      <c r="L25" s="402">
        <v>16</v>
      </c>
      <c r="M25" s="13">
        <f t="shared" si="20"/>
        <v>1929.3103448275849</v>
      </c>
      <c r="N25" s="12">
        <f t="shared" si="3"/>
        <v>120.58189655172406</v>
      </c>
      <c r="O25" s="14">
        <f t="shared" si="4"/>
        <v>0</v>
      </c>
      <c r="P25" s="15">
        <f t="shared" si="5"/>
        <v>-4.4181034482759429</v>
      </c>
      <c r="Q25" s="398">
        <f t="shared" si="6"/>
        <v>0.96465517241379251</v>
      </c>
      <c r="R25" s="616"/>
      <c r="S25" s="32">
        <v>0.32430555555555551</v>
      </c>
      <c r="T25" s="32">
        <v>0.36458333333333331</v>
      </c>
      <c r="U25" s="397">
        <f t="shared" si="22"/>
        <v>5.9999999999999787</v>
      </c>
      <c r="V25" s="403">
        <f t="shared" si="21"/>
        <v>58.000000000000036</v>
      </c>
      <c r="W25" s="16"/>
      <c r="X25" s="397"/>
      <c r="Y25" s="397"/>
      <c r="Z25" s="397"/>
      <c r="AA25" s="612"/>
      <c r="AB25" s="612"/>
      <c r="AC25" s="18"/>
      <c r="AD25" s="18"/>
      <c r="AE25" s="14">
        <f t="shared" si="8"/>
        <v>-70.689655172415087</v>
      </c>
      <c r="AF25" s="398">
        <f t="shared" si="9"/>
        <v>0.96465517241379251</v>
      </c>
      <c r="AG25" s="616"/>
    </row>
    <row r="26" spans="1:33" ht="15.75" customHeight="1">
      <c r="A26" s="635" t="s">
        <v>280</v>
      </c>
      <c r="B26" s="27" t="s">
        <v>5</v>
      </c>
      <c r="C26" s="659" t="s">
        <v>65</v>
      </c>
      <c r="D26" s="659"/>
      <c r="E26" s="27">
        <v>56.43</v>
      </c>
      <c r="F26" s="404">
        <v>1599</v>
      </c>
      <c r="G26" s="397">
        <f t="shared" si="19"/>
        <v>90231.569999999992</v>
      </c>
      <c r="H26" s="31" t="s">
        <v>40</v>
      </c>
      <c r="I26" s="402">
        <v>13</v>
      </c>
      <c r="J26" s="29">
        <v>2000</v>
      </c>
      <c r="K26" s="12">
        <f t="shared" si="1"/>
        <v>153.84615384615384</v>
      </c>
      <c r="L26" s="402">
        <v>13</v>
      </c>
      <c r="M26" s="13">
        <f t="shared" si="20"/>
        <v>1918.8000000000004</v>
      </c>
      <c r="N26" s="12">
        <f t="shared" si="3"/>
        <v>147.60000000000002</v>
      </c>
      <c r="O26" s="14">
        <f t="shared" si="4"/>
        <v>0</v>
      </c>
      <c r="P26" s="15">
        <f t="shared" si="5"/>
        <v>-6.2461538461538169</v>
      </c>
      <c r="Q26" s="398">
        <f t="shared" si="6"/>
        <v>0.95940000000000014</v>
      </c>
      <c r="R26" s="616"/>
      <c r="S26" s="32">
        <v>0.70833333333333337</v>
      </c>
      <c r="T26" s="32">
        <v>0.74305555555555558</v>
      </c>
      <c r="U26" s="397" t="str">
        <f t="shared" si="22"/>
        <v/>
      </c>
      <c r="V26" s="403">
        <f t="shared" si="21"/>
        <v>49.999999999999986</v>
      </c>
      <c r="W26" s="16"/>
      <c r="X26" s="397"/>
      <c r="Y26" s="397"/>
      <c r="Z26" s="397"/>
      <c r="AA26" s="612"/>
      <c r="AB26" s="612"/>
      <c r="AC26" s="18"/>
      <c r="AD26" s="18"/>
      <c r="AE26" s="14">
        <f t="shared" si="8"/>
        <v>-81.199999999999591</v>
      </c>
      <c r="AF26" s="398">
        <f t="shared" si="9"/>
        <v>0.95940000000000025</v>
      </c>
      <c r="AG26" s="616"/>
    </row>
    <row r="27" spans="1:33" ht="15.75" customHeight="1">
      <c r="A27" s="635" t="s">
        <v>280</v>
      </c>
      <c r="B27" s="27" t="s">
        <v>5</v>
      </c>
      <c r="C27" s="659" t="s">
        <v>1322</v>
      </c>
      <c r="D27" s="659"/>
      <c r="E27" s="27">
        <v>54.09</v>
      </c>
      <c r="F27" s="404">
        <v>2724</v>
      </c>
      <c r="G27" s="397">
        <f t="shared" si="19"/>
        <v>147341.16</v>
      </c>
      <c r="H27" s="31" t="s">
        <v>40</v>
      </c>
      <c r="I27" s="402">
        <v>18</v>
      </c>
      <c r="J27" s="29">
        <v>2000</v>
      </c>
      <c r="K27" s="12">
        <f t="shared" si="1"/>
        <v>111.11111111111111</v>
      </c>
      <c r="L27" s="402">
        <v>18</v>
      </c>
      <c r="M27" s="13">
        <f t="shared" si="20"/>
        <v>1900.4651162790694</v>
      </c>
      <c r="N27" s="12">
        <f t="shared" si="3"/>
        <v>105.58139534883719</v>
      </c>
      <c r="O27" s="14">
        <f t="shared" si="4"/>
        <v>0</v>
      </c>
      <c r="P27" s="15">
        <f t="shared" si="5"/>
        <v>-5.5297157622739235</v>
      </c>
      <c r="Q27" s="398">
        <f t="shared" si="6"/>
        <v>0.95023255813953467</v>
      </c>
      <c r="R27" s="616"/>
      <c r="S27" s="32">
        <v>0.74791666666666667</v>
      </c>
      <c r="T27" s="32">
        <v>0.80763888888888891</v>
      </c>
      <c r="U27" s="397">
        <f t="shared" si="22"/>
        <v>6.9999999999999751</v>
      </c>
      <c r="V27" s="403">
        <f t="shared" si="21"/>
        <v>86.000000000000014</v>
      </c>
      <c r="W27" s="16"/>
      <c r="X27" s="16"/>
      <c r="Y27" s="397"/>
      <c r="Z27" s="397"/>
      <c r="AA27" s="612"/>
      <c r="AB27" s="612"/>
      <c r="AC27" s="18"/>
      <c r="AD27" s="18"/>
      <c r="AE27" s="14">
        <f t="shared" si="8"/>
        <v>-99.534883720930566</v>
      </c>
      <c r="AF27" s="398">
        <f t="shared" si="9"/>
        <v>0.95023255813953467</v>
      </c>
      <c r="AG27" s="616"/>
    </row>
    <row r="28" spans="1:33" ht="15.75" customHeight="1">
      <c r="A28" s="635" t="s">
        <v>280</v>
      </c>
      <c r="B28" s="27" t="s">
        <v>5</v>
      </c>
      <c r="C28" s="659" t="s">
        <v>1930</v>
      </c>
      <c r="D28" s="659"/>
      <c r="E28" s="27">
        <v>57.3</v>
      </c>
      <c r="F28" s="404">
        <v>1200</v>
      </c>
      <c r="G28" s="397">
        <f t="shared" si="19"/>
        <v>68760</v>
      </c>
      <c r="H28" s="31">
        <v>2</v>
      </c>
      <c r="I28" s="402">
        <v>16</v>
      </c>
      <c r="J28" s="29">
        <v>2000</v>
      </c>
      <c r="K28" s="12">
        <f t="shared" si="1"/>
        <v>125</v>
      </c>
      <c r="L28" s="402">
        <v>16</v>
      </c>
      <c r="M28" s="13">
        <f t="shared" si="20"/>
        <v>1945.9459459459445</v>
      </c>
      <c r="N28" s="12">
        <f t="shared" si="3"/>
        <v>121.62162162162153</v>
      </c>
      <c r="O28" s="14">
        <f t="shared" si="4"/>
        <v>0</v>
      </c>
      <c r="P28" s="15">
        <f t="shared" si="5"/>
        <v>-3.3783783783784713</v>
      </c>
      <c r="Q28" s="398">
        <f t="shared" si="6"/>
        <v>0.97297297297297225</v>
      </c>
      <c r="R28" s="616"/>
      <c r="S28" s="32">
        <v>0.8125</v>
      </c>
      <c r="T28" s="32">
        <v>0.83819444444444446</v>
      </c>
      <c r="U28" s="397">
        <f t="shared" si="22"/>
        <v>6.9999999999999751</v>
      </c>
      <c r="V28" s="403">
        <f t="shared" si="21"/>
        <v>37.000000000000028</v>
      </c>
      <c r="W28" s="16">
        <f>T28</f>
        <v>0.83819444444444446</v>
      </c>
      <c r="X28" s="16">
        <f>S29</f>
        <v>0.87916666666666665</v>
      </c>
      <c r="Y28" s="20"/>
      <c r="Z28" s="20"/>
      <c r="AA28" s="612"/>
      <c r="AB28" s="612"/>
      <c r="AC28" s="18"/>
      <c r="AD28" s="18"/>
      <c r="AE28" s="14">
        <f t="shared" si="8"/>
        <v>-54.054054054055541</v>
      </c>
      <c r="AF28" s="398">
        <f t="shared" si="9"/>
        <v>0.97297297297297225</v>
      </c>
      <c r="AG28" s="616"/>
    </row>
    <row r="29" spans="1:33" ht="15.75" customHeight="1">
      <c r="A29" s="635" t="s">
        <v>280</v>
      </c>
      <c r="B29" s="27" t="s">
        <v>5</v>
      </c>
      <c r="C29" s="631" t="s">
        <v>1930</v>
      </c>
      <c r="D29" s="632"/>
      <c r="E29" s="27">
        <v>57.3</v>
      </c>
      <c r="F29" s="404">
        <v>2997</v>
      </c>
      <c r="G29" s="397">
        <f t="shared" si="19"/>
        <v>171728.1</v>
      </c>
      <c r="H29" s="31" t="s">
        <v>40</v>
      </c>
      <c r="I29" s="402">
        <v>16</v>
      </c>
      <c r="J29" s="29">
        <v>2000</v>
      </c>
      <c r="K29" s="12">
        <f t="shared" si="1"/>
        <v>125</v>
      </c>
      <c r="L29" s="402">
        <v>16</v>
      </c>
      <c r="M29" s="13">
        <f t="shared" si="20"/>
        <v>1912.9787234042556</v>
      </c>
      <c r="N29" s="12">
        <f t="shared" si="3"/>
        <v>119.56117021276597</v>
      </c>
      <c r="O29" s="14">
        <f t="shared" si="4"/>
        <v>0</v>
      </c>
      <c r="P29" s="15">
        <f t="shared" si="5"/>
        <v>-5.4388297872340274</v>
      </c>
      <c r="Q29" s="398">
        <f t="shared" si="6"/>
        <v>0.95648936170212773</v>
      </c>
      <c r="R29" s="616"/>
      <c r="S29" s="32">
        <v>0.87916666666666665</v>
      </c>
      <c r="T29" s="32">
        <v>0.94444444444444442</v>
      </c>
      <c r="U29" s="397">
        <f t="shared" si="22"/>
        <v>58.99999999999995</v>
      </c>
      <c r="V29" s="403">
        <f t="shared" si="21"/>
        <v>93.999999999999986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-87.021276595744439</v>
      </c>
      <c r="AF29" s="398">
        <f t="shared" si="9"/>
        <v>0.95648936170212773</v>
      </c>
      <c r="AG29" s="616"/>
    </row>
    <row r="30" spans="1:33" ht="15.75" customHeight="1">
      <c r="A30" s="635" t="s">
        <v>280</v>
      </c>
      <c r="B30" s="27" t="s">
        <v>2060</v>
      </c>
      <c r="C30" s="658"/>
      <c r="D30" s="658"/>
      <c r="E30" s="399"/>
      <c r="F30" s="404"/>
      <c r="G30" s="397"/>
      <c r="H30" s="404"/>
      <c r="I30" s="21">
        <v>15.714285714285714</v>
      </c>
      <c r="J30" s="29">
        <v>2000</v>
      </c>
      <c r="K30" s="12">
        <f t="shared" si="1"/>
        <v>127.27272727272728</v>
      </c>
      <c r="L30" s="21">
        <v>15.714285714285714</v>
      </c>
      <c r="M30" s="13">
        <f>AVERAGE(M23:M29)</f>
        <v>1916.011892951637</v>
      </c>
      <c r="N30" s="12">
        <f t="shared" si="3"/>
        <v>121.92802955146782</v>
      </c>
      <c r="O30" s="14">
        <f t="shared" si="4"/>
        <v>0</v>
      </c>
      <c r="P30" s="15">
        <f t="shared" si="5"/>
        <v>-5.3446977212594646</v>
      </c>
      <c r="Q30" s="398">
        <f t="shared" si="6"/>
        <v>0.95800594647581849</v>
      </c>
      <c r="R30" s="616"/>
      <c r="S30" s="32"/>
      <c r="T30" s="32"/>
      <c r="U30" s="12"/>
      <c r="V30" s="403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-83.988107048362963</v>
      </c>
      <c r="AF30" s="398">
        <f t="shared" si="9"/>
        <v>0.95800594647581849</v>
      </c>
      <c r="AG30" s="616"/>
    </row>
    <row r="31" spans="1:33" ht="15.75" customHeight="1">
      <c r="A31" s="633" t="s">
        <v>726</v>
      </c>
      <c r="B31" s="27" t="s">
        <v>20</v>
      </c>
      <c r="C31" s="659" t="s">
        <v>21</v>
      </c>
      <c r="D31" s="659"/>
      <c r="E31" s="27">
        <v>31.29</v>
      </c>
      <c r="F31" s="404">
        <v>5300</v>
      </c>
      <c r="G31" s="397">
        <f t="shared" ref="G31:G37" si="23">E31*F31</f>
        <v>165837</v>
      </c>
      <c r="H31" s="31">
        <v>2</v>
      </c>
      <c r="I31" s="402">
        <v>18</v>
      </c>
      <c r="J31" s="29">
        <v>2400</v>
      </c>
      <c r="K31" s="12">
        <f t="shared" si="1"/>
        <v>133.33333333333334</v>
      </c>
      <c r="L31" s="402">
        <v>18</v>
      </c>
      <c r="M31" s="13">
        <f t="shared" ref="M31:M37" si="24">F31/V31*60</f>
        <v>2287.7697841726617</v>
      </c>
      <c r="N31" s="12">
        <f t="shared" si="3"/>
        <v>127.09832134292566</v>
      </c>
      <c r="O31" s="14">
        <f t="shared" si="4"/>
        <v>0</v>
      </c>
      <c r="P31" s="15">
        <f t="shared" si="5"/>
        <v>-6.2350119904076848</v>
      </c>
      <c r="Q31" s="398">
        <f t="shared" si="6"/>
        <v>0.9532374100719424</v>
      </c>
      <c r="R31" s="616">
        <f>Q38</f>
        <v>0.95485038807269029</v>
      </c>
      <c r="S31" s="32">
        <v>8.3333333333333329E-2</v>
      </c>
      <c r="T31" s="32">
        <v>0.17986111111111111</v>
      </c>
      <c r="U31" s="397"/>
      <c r="V31" s="403">
        <f t="shared" ref="V31:V37" si="25">(T31-S31)*24*60</f>
        <v>139</v>
      </c>
      <c r="W31" s="16">
        <f>T31</f>
        <v>0.17986111111111111</v>
      </c>
      <c r="X31" s="16">
        <f>S32</f>
        <v>0.19722222222222219</v>
      </c>
      <c r="Y31" s="16"/>
      <c r="Z31" s="16"/>
      <c r="AA31" s="612"/>
      <c r="AB31" s="612"/>
      <c r="AC31" s="18">
        <v>7</v>
      </c>
      <c r="AD31" s="18"/>
      <c r="AE31" s="14">
        <f t="shared" si="8"/>
        <v>-112.23021582733827</v>
      </c>
      <c r="AF31" s="398">
        <f t="shared" si="9"/>
        <v>0.9532374100719424</v>
      </c>
      <c r="AG31" s="616">
        <f>AF38</f>
        <v>0.9548503880726904</v>
      </c>
    </row>
    <row r="32" spans="1:33" ht="15.75" customHeight="1">
      <c r="A32" s="633" t="s">
        <v>726</v>
      </c>
      <c r="B32" s="27" t="s">
        <v>20</v>
      </c>
      <c r="C32" s="659" t="s">
        <v>22</v>
      </c>
      <c r="D32" s="659"/>
      <c r="E32" s="27">
        <v>26.37</v>
      </c>
      <c r="F32" s="404">
        <v>6502</v>
      </c>
      <c r="G32" s="397">
        <f t="shared" si="23"/>
        <v>171457.74000000002</v>
      </c>
      <c r="H32" s="31" t="s">
        <v>40</v>
      </c>
      <c r="I32" s="402">
        <v>18</v>
      </c>
      <c r="J32" s="29">
        <v>2400</v>
      </c>
      <c r="K32" s="12">
        <f t="shared" si="1"/>
        <v>133.33333333333334</v>
      </c>
      <c r="L32" s="402">
        <v>18</v>
      </c>
      <c r="M32" s="13">
        <f t="shared" si="24"/>
        <v>2294.8235294117644</v>
      </c>
      <c r="N32" s="12">
        <f t="shared" si="3"/>
        <v>127.49019607843135</v>
      </c>
      <c r="O32" s="14">
        <f t="shared" si="4"/>
        <v>0</v>
      </c>
      <c r="P32" s="15">
        <f t="shared" si="5"/>
        <v>-5.8431372549019898</v>
      </c>
      <c r="Q32" s="398">
        <f t="shared" si="6"/>
        <v>0.95617647058823507</v>
      </c>
      <c r="R32" s="616"/>
      <c r="S32" s="32">
        <v>0.19722222222222219</v>
      </c>
      <c r="T32" s="32">
        <v>0.31527777777777777</v>
      </c>
      <c r="U32" s="397">
        <f t="shared" ref="U32:U37" si="26">(S32-T31)*24*60</f>
        <v>24.99999999999995</v>
      </c>
      <c r="V32" s="403">
        <f t="shared" si="25"/>
        <v>170.00000000000003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-105.17647058823559</v>
      </c>
      <c r="AF32" s="398">
        <f t="shared" si="9"/>
        <v>0.95617647058823518</v>
      </c>
      <c r="AG32" s="616"/>
    </row>
    <row r="33" spans="1:33" ht="15.75" customHeight="1">
      <c r="A33" s="633" t="s">
        <v>726</v>
      </c>
      <c r="B33" s="27" t="s">
        <v>20</v>
      </c>
      <c r="C33" s="659" t="s">
        <v>57</v>
      </c>
      <c r="D33" s="659"/>
      <c r="E33" s="27">
        <v>26.18</v>
      </c>
      <c r="F33" s="404">
        <v>4500</v>
      </c>
      <c r="G33" s="397">
        <f t="shared" si="23"/>
        <v>117810</v>
      </c>
      <c r="H33" s="31">
        <v>2</v>
      </c>
      <c r="I33" s="402">
        <v>18</v>
      </c>
      <c r="J33" s="29">
        <v>2400</v>
      </c>
      <c r="K33" s="12">
        <f t="shared" si="1"/>
        <v>133.33333333333334</v>
      </c>
      <c r="L33" s="402">
        <v>18</v>
      </c>
      <c r="M33" s="13">
        <f t="shared" si="24"/>
        <v>2288.1355932203396</v>
      </c>
      <c r="N33" s="12">
        <f t="shared" si="3"/>
        <v>127.11864406779665</v>
      </c>
      <c r="O33" s="14">
        <f t="shared" si="4"/>
        <v>0</v>
      </c>
      <c r="P33" s="15">
        <f t="shared" si="5"/>
        <v>-6.2146892655366912</v>
      </c>
      <c r="Q33" s="398">
        <f t="shared" si="6"/>
        <v>0.95338983050847481</v>
      </c>
      <c r="R33" s="616"/>
      <c r="S33" s="32">
        <v>0.31874999999999998</v>
      </c>
      <c r="T33" s="32">
        <v>0.40069444444444441</v>
      </c>
      <c r="U33" s="397">
        <f t="shared" si="26"/>
        <v>4.9999999999999822</v>
      </c>
      <c r="V33" s="403">
        <f t="shared" si="25"/>
        <v>117.99999999999999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-111.86440677966038</v>
      </c>
      <c r="AF33" s="398">
        <f t="shared" si="9"/>
        <v>0.95338983050847481</v>
      </c>
      <c r="AG33" s="616"/>
    </row>
    <row r="34" spans="1:33" ht="15.75" customHeight="1">
      <c r="A34" s="633" t="s">
        <v>726</v>
      </c>
      <c r="B34" s="27" t="s">
        <v>20</v>
      </c>
      <c r="C34" s="659" t="s">
        <v>59</v>
      </c>
      <c r="D34" s="659"/>
      <c r="E34" s="27">
        <v>25.99</v>
      </c>
      <c r="F34" s="404">
        <v>1423</v>
      </c>
      <c r="G34" s="397">
        <f t="shared" si="23"/>
        <v>36983.769999999997</v>
      </c>
      <c r="H34" s="31" t="s">
        <v>40</v>
      </c>
      <c r="I34" s="402">
        <v>18</v>
      </c>
      <c r="J34" s="29">
        <v>2400</v>
      </c>
      <c r="K34" s="12">
        <f t="shared" si="1"/>
        <v>133.33333333333334</v>
      </c>
      <c r="L34" s="402">
        <v>18</v>
      </c>
      <c r="M34" s="13">
        <f t="shared" si="24"/>
        <v>2307.5675675675657</v>
      </c>
      <c r="N34" s="12">
        <f t="shared" si="3"/>
        <v>128.1981981981981</v>
      </c>
      <c r="O34" s="14">
        <f t="shared" si="4"/>
        <v>0</v>
      </c>
      <c r="P34" s="15">
        <f t="shared" si="5"/>
        <v>-5.1351351351352434</v>
      </c>
      <c r="Q34" s="398">
        <f t="shared" si="6"/>
        <v>0.96148648648648571</v>
      </c>
      <c r="R34" s="616"/>
      <c r="S34" s="32">
        <v>0.4055555555555555</v>
      </c>
      <c r="T34" s="32">
        <v>0.43124999999999997</v>
      </c>
      <c r="U34" s="397">
        <f t="shared" si="26"/>
        <v>6.9999999999999751</v>
      </c>
      <c r="V34" s="403">
        <f t="shared" si="25"/>
        <v>37.000000000000028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-92.432432432434325</v>
      </c>
      <c r="AF34" s="398">
        <f t="shared" si="9"/>
        <v>0.96148648648648571</v>
      </c>
      <c r="AG34" s="616"/>
    </row>
    <row r="35" spans="1:33" ht="15.75" customHeight="1">
      <c r="A35" s="633" t="s">
        <v>726</v>
      </c>
      <c r="B35" s="27" t="s">
        <v>20</v>
      </c>
      <c r="C35" s="659" t="s">
        <v>23</v>
      </c>
      <c r="D35" s="659"/>
      <c r="E35" s="27">
        <v>25.99</v>
      </c>
      <c r="F35" s="404">
        <v>3886</v>
      </c>
      <c r="G35" s="397">
        <f t="shared" si="23"/>
        <v>100997.14</v>
      </c>
      <c r="H35" s="31" t="s">
        <v>40</v>
      </c>
      <c r="I35" s="402">
        <v>14</v>
      </c>
      <c r="J35" s="29">
        <v>2400</v>
      </c>
      <c r="K35" s="12">
        <f t="shared" si="1"/>
        <v>171.42857142857142</v>
      </c>
      <c r="L35" s="402">
        <v>14</v>
      </c>
      <c r="M35" s="13">
        <f t="shared" si="24"/>
        <v>2285.8823529411752</v>
      </c>
      <c r="N35" s="12">
        <f t="shared" si="3"/>
        <v>163.27731092436966</v>
      </c>
      <c r="O35" s="14">
        <f t="shared" si="4"/>
        <v>0</v>
      </c>
      <c r="P35" s="15">
        <f t="shared" si="5"/>
        <v>-8.1512605042017583</v>
      </c>
      <c r="Q35" s="398">
        <f t="shared" si="6"/>
        <v>0.95245098039215637</v>
      </c>
      <c r="R35" s="616"/>
      <c r="S35" s="32">
        <v>0.43541666666666662</v>
      </c>
      <c r="T35" s="32">
        <v>0.50624999999999998</v>
      </c>
      <c r="U35" s="397">
        <f t="shared" si="26"/>
        <v>5.9999999999999787</v>
      </c>
      <c r="V35" s="403">
        <f t="shared" si="25"/>
        <v>102.00000000000004</v>
      </c>
      <c r="W35" s="16">
        <f>T35</f>
        <v>0.50624999999999998</v>
      </c>
      <c r="X35" s="16">
        <f>S36</f>
        <v>0.54583333333333328</v>
      </c>
      <c r="Y35" s="16"/>
      <c r="Z35" s="16"/>
      <c r="AA35" s="612"/>
      <c r="AB35" s="612"/>
      <c r="AC35" s="18"/>
      <c r="AD35" s="18"/>
      <c r="AE35" s="14">
        <f t="shared" si="8"/>
        <v>-114.11764705882479</v>
      </c>
      <c r="AF35" s="398">
        <f t="shared" si="9"/>
        <v>0.95245098039215637</v>
      </c>
      <c r="AG35" s="616"/>
    </row>
    <row r="36" spans="1:33" ht="15.75" customHeight="1">
      <c r="A36" s="633" t="s">
        <v>726</v>
      </c>
      <c r="B36" s="27" t="s">
        <v>20</v>
      </c>
      <c r="C36" s="659" t="s">
        <v>21</v>
      </c>
      <c r="D36" s="659"/>
      <c r="E36" s="27">
        <v>31.29</v>
      </c>
      <c r="F36" s="404">
        <v>3974</v>
      </c>
      <c r="G36" s="397">
        <f t="shared" si="23"/>
        <v>124346.45999999999</v>
      </c>
      <c r="H36" s="31" t="s">
        <v>40</v>
      </c>
      <c r="I36" s="402">
        <v>18</v>
      </c>
      <c r="J36" s="29">
        <v>2400</v>
      </c>
      <c r="K36" s="12">
        <f t="shared" si="1"/>
        <v>133.33333333333334</v>
      </c>
      <c r="L36" s="402">
        <v>18</v>
      </c>
      <c r="M36" s="13">
        <f t="shared" si="24"/>
        <v>2292.692307692309</v>
      </c>
      <c r="N36" s="12">
        <f t="shared" si="3"/>
        <v>127.37179487179495</v>
      </c>
      <c r="O36" s="14">
        <f t="shared" si="4"/>
        <v>0</v>
      </c>
      <c r="P36" s="15">
        <f t="shared" si="5"/>
        <v>-5.9615384615383959</v>
      </c>
      <c r="Q36" s="398">
        <f t="shared" si="6"/>
        <v>0.95528846153846203</v>
      </c>
      <c r="R36" s="616"/>
      <c r="S36" s="32">
        <v>0.54583333333333328</v>
      </c>
      <c r="T36" s="32">
        <v>0.61805555555555547</v>
      </c>
      <c r="U36" s="397">
        <f t="shared" si="26"/>
        <v>56.999999999999957</v>
      </c>
      <c r="V36" s="403">
        <f t="shared" si="25"/>
        <v>103.99999999999994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-107.30769230769101</v>
      </c>
      <c r="AF36" s="398">
        <f t="shared" si="9"/>
        <v>0.95528846153846203</v>
      </c>
      <c r="AG36" s="616"/>
    </row>
    <row r="37" spans="1:33" ht="15.75" customHeight="1">
      <c r="A37" s="633" t="s">
        <v>726</v>
      </c>
      <c r="B37" s="27" t="s">
        <v>20</v>
      </c>
      <c r="C37" s="659" t="s">
        <v>57</v>
      </c>
      <c r="D37" s="659"/>
      <c r="E37" s="27">
        <v>26.18</v>
      </c>
      <c r="F37" s="404">
        <v>3465</v>
      </c>
      <c r="G37" s="397">
        <f t="shared" si="23"/>
        <v>90713.7</v>
      </c>
      <c r="H37" s="31" t="s">
        <v>40</v>
      </c>
      <c r="I37" s="402">
        <v>18</v>
      </c>
      <c r="J37" s="29">
        <v>2400</v>
      </c>
      <c r="K37" s="12">
        <f t="shared" si="1"/>
        <v>133.33333333333334</v>
      </c>
      <c r="L37" s="402">
        <v>18</v>
      </c>
      <c r="M37" s="13">
        <f t="shared" si="24"/>
        <v>2284.6153846153848</v>
      </c>
      <c r="N37" s="12">
        <f t="shared" si="3"/>
        <v>126.92307692307693</v>
      </c>
      <c r="O37" s="14">
        <f t="shared" si="4"/>
        <v>0</v>
      </c>
      <c r="P37" s="15">
        <f t="shared" si="5"/>
        <v>-6.4102564102564088</v>
      </c>
      <c r="Q37" s="398">
        <f t="shared" si="6"/>
        <v>0.95192307692307698</v>
      </c>
      <c r="R37" s="616"/>
      <c r="S37" s="32">
        <v>0.62222222222222212</v>
      </c>
      <c r="T37" s="32">
        <v>0.68541666666666656</v>
      </c>
      <c r="U37" s="397">
        <f t="shared" si="26"/>
        <v>5.9999999999999787</v>
      </c>
      <c r="V37" s="403">
        <f t="shared" si="25"/>
        <v>91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-115.38461538461524</v>
      </c>
      <c r="AF37" s="398">
        <f t="shared" si="9"/>
        <v>0.95192307692307698</v>
      </c>
      <c r="AG37" s="616"/>
    </row>
    <row r="38" spans="1:33" ht="15.75" customHeight="1">
      <c r="A38" s="633" t="s">
        <v>2061</v>
      </c>
      <c r="B38" s="27" t="s">
        <v>275</v>
      </c>
      <c r="C38" s="658"/>
      <c r="D38" s="658"/>
      <c r="E38" s="399"/>
      <c r="F38" s="404"/>
      <c r="G38" s="397"/>
      <c r="H38" s="404"/>
      <c r="I38" s="21">
        <v>17.428571428571427</v>
      </c>
      <c r="J38" s="29">
        <v>2400</v>
      </c>
      <c r="K38" s="12">
        <f t="shared" si="1"/>
        <v>137.70491803278691</v>
      </c>
      <c r="L38" s="21">
        <v>17.428571428571427</v>
      </c>
      <c r="M38" s="13">
        <f>AVERAGE(M31:M37)</f>
        <v>2291.6409313744571</v>
      </c>
      <c r="N38" s="12">
        <f t="shared" si="3"/>
        <v>131.48759442312459</v>
      </c>
      <c r="O38" s="14">
        <f t="shared" si="4"/>
        <v>0</v>
      </c>
      <c r="P38" s="15">
        <f t="shared" si="5"/>
        <v>-6.2173236096623157</v>
      </c>
      <c r="Q38" s="398">
        <f t="shared" si="6"/>
        <v>0.95485038807269029</v>
      </c>
      <c r="R38" s="616"/>
      <c r="S38" s="32"/>
      <c r="T38" s="32"/>
      <c r="U38" s="397"/>
      <c r="V38" s="403"/>
      <c r="W38" s="397"/>
      <c r="X38" s="397"/>
      <c r="Y38" s="22">
        <f>SUM(Y31:Y37)</f>
        <v>0</v>
      </c>
      <c r="Z38" s="22">
        <f>SUM(Z31:Z37)</f>
        <v>0</v>
      </c>
      <c r="AA38" s="611"/>
      <c r="AB38" s="611"/>
      <c r="AC38" s="22">
        <v>7</v>
      </c>
      <c r="AD38" s="22">
        <f>SUM(AD31:AD37)</f>
        <v>0</v>
      </c>
      <c r="AE38" s="14">
        <f t="shared" si="8"/>
        <v>-108.35906862554293</v>
      </c>
      <c r="AF38" s="398">
        <f t="shared" si="9"/>
        <v>0.9548503880726904</v>
      </c>
      <c r="AG38" s="616"/>
    </row>
    <row r="39" spans="1:33" ht="15.75" customHeight="1">
      <c r="A39" s="629" t="s">
        <v>282</v>
      </c>
      <c r="B39" s="27" t="s">
        <v>20</v>
      </c>
      <c r="C39" s="660" t="s">
        <v>58</v>
      </c>
      <c r="D39" s="660"/>
      <c r="E39" s="27">
        <v>26.18</v>
      </c>
      <c r="F39" s="404">
        <v>3800</v>
      </c>
      <c r="G39" s="397">
        <f t="shared" ref="G39:G46" si="27">E39*F39</f>
        <v>99484</v>
      </c>
      <c r="H39" s="31">
        <v>2</v>
      </c>
      <c r="I39" s="402">
        <v>20</v>
      </c>
      <c r="J39" s="29">
        <v>2400</v>
      </c>
      <c r="K39" s="12">
        <f t="shared" si="1"/>
        <v>120</v>
      </c>
      <c r="L39" s="402">
        <v>20</v>
      </c>
      <c r="M39" s="13">
        <f t="shared" ref="M39:M46" si="28">F39/V39*60</f>
        <v>2303.030303030303</v>
      </c>
      <c r="N39" s="12">
        <f t="shared" si="3"/>
        <v>115.15151515151516</v>
      </c>
      <c r="O39" s="14">
        <f t="shared" si="4"/>
        <v>0</v>
      </c>
      <c r="P39" s="15">
        <f t="shared" si="5"/>
        <v>-4.8484848484848442</v>
      </c>
      <c r="Q39" s="398">
        <f t="shared" si="6"/>
        <v>0.95959595959595967</v>
      </c>
      <c r="R39" s="616">
        <f>Q47</f>
        <v>0.95672078560826868</v>
      </c>
      <c r="S39" s="32">
        <v>8.3333333333333329E-2</v>
      </c>
      <c r="T39" s="32">
        <v>0.15208333333333332</v>
      </c>
      <c r="U39" s="397"/>
      <c r="V39" s="403">
        <f t="shared" ref="V39:V46" si="29">(T39-S39)*24*60</f>
        <v>99</v>
      </c>
      <c r="W39" s="20">
        <f>T39</f>
        <v>0.15208333333333332</v>
      </c>
      <c r="X39" s="20">
        <f>S40</f>
        <v>0.17222222222222222</v>
      </c>
      <c r="Y39" s="20"/>
      <c r="Z39" s="20"/>
      <c r="AA39" s="612"/>
      <c r="AB39" s="612"/>
      <c r="AC39" s="18">
        <v>8</v>
      </c>
      <c r="AD39" s="18"/>
      <c r="AE39" s="14">
        <f t="shared" si="8"/>
        <v>-96.969696969696997</v>
      </c>
      <c r="AF39" s="398">
        <f t="shared" si="9"/>
        <v>0.95959595959595956</v>
      </c>
      <c r="AG39" s="616">
        <f>AF47</f>
        <v>0.95672078560826856</v>
      </c>
    </row>
    <row r="40" spans="1:33" ht="15.75" customHeight="1">
      <c r="A40" s="629" t="s">
        <v>282</v>
      </c>
      <c r="B40" s="27" t="s">
        <v>20</v>
      </c>
      <c r="C40" s="660" t="s">
        <v>25</v>
      </c>
      <c r="D40" s="660"/>
      <c r="E40" s="27">
        <v>24.43</v>
      </c>
      <c r="F40" s="404">
        <v>4200</v>
      </c>
      <c r="G40" s="397">
        <f t="shared" si="27"/>
        <v>102606</v>
      </c>
      <c r="H40" s="31">
        <v>2</v>
      </c>
      <c r="I40" s="402">
        <v>14</v>
      </c>
      <c r="J40" s="29">
        <v>2400</v>
      </c>
      <c r="K40" s="12">
        <f t="shared" si="1"/>
        <v>171.42857142857142</v>
      </c>
      <c r="L40" s="402">
        <v>14</v>
      </c>
      <c r="M40" s="13">
        <f t="shared" si="28"/>
        <v>2290.909090909091</v>
      </c>
      <c r="N40" s="12">
        <f t="shared" si="3"/>
        <v>163.63636363636365</v>
      </c>
      <c r="O40" s="14">
        <f t="shared" si="4"/>
        <v>0</v>
      </c>
      <c r="P40" s="15">
        <f t="shared" si="5"/>
        <v>-7.7922077922077619</v>
      </c>
      <c r="Q40" s="398">
        <f t="shared" si="6"/>
        <v>0.9545454545454547</v>
      </c>
      <c r="R40" s="616"/>
      <c r="S40" s="32">
        <v>0.17222222222222222</v>
      </c>
      <c r="T40" s="32">
        <v>0.24861111111111112</v>
      </c>
      <c r="U40" s="397">
        <f t="shared" ref="U40:U46" si="30">(S40-T39)*24*60</f>
        <v>29.000000000000018</v>
      </c>
      <c r="V40" s="403">
        <f t="shared" si="29"/>
        <v>110.00000000000001</v>
      </c>
      <c r="W40" s="397"/>
      <c r="X40" s="397"/>
      <c r="Y40" s="397"/>
      <c r="Z40" s="397"/>
      <c r="AA40" s="612"/>
      <c r="AB40" s="612"/>
      <c r="AC40" s="18"/>
      <c r="AD40" s="18"/>
      <c r="AE40" s="14">
        <f t="shared" si="8"/>
        <v>-109.09090909090901</v>
      </c>
      <c r="AF40" s="398">
        <f t="shared" si="9"/>
        <v>0.95454545454545459</v>
      </c>
      <c r="AG40" s="616"/>
    </row>
    <row r="41" spans="1:33">
      <c r="A41" s="630" t="s">
        <v>282</v>
      </c>
      <c r="B41" s="27" t="s">
        <v>20</v>
      </c>
      <c r="C41" s="660" t="s">
        <v>83</v>
      </c>
      <c r="D41" s="660"/>
      <c r="E41" s="27">
        <v>25.98</v>
      </c>
      <c r="F41" s="404">
        <v>3965</v>
      </c>
      <c r="G41" s="397">
        <f t="shared" si="27"/>
        <v>103010.7</v>
      </c>
      <c r="H41" s="31" t="s">
        <v>40</v>
      </c>
      <c r="I41" s="402">
        <v>20</v>
      </c>
      <c r="J41" s="29">
        <v>2400</v>
      </c>
      <c r="K41" s="12">
        <f t="shared" si="1"/>
        <v>120</v>
      </c>
      <c r="L41" s="402">
        <v>20</v>
      </c>
      <c r="M41" s="13">
        <f t="shared" si="28"/>
        <v>2287.4999999999995</v>
      </c>
      <c r="N41" s="12">
        <f t="shared" si="3"/>
        <v>114.37499999999997</v>
      </c>
      <c r="O41" s="14">
        <f t="shared" si="4"/>
        <v>0</v>
      </c>
      <c r="P41" s="15">
        <f t="shared" si="5"/>
        <v>-5.6250000000000284</v>
      </c>
      <c r="Q41" s="398">
        <f t="shared" si="6"/>
        <v>0.95312499999999978</v>
      </c>
      <c r="R41" s="616"/>
      <c r="S41" s="32">
        <v>0.25347222222222221</v>
      </c>
      <c r="T41" s="32">
        <v>0.32569444444444445</v>
      </c>
      <c r="U41" s="397">
        <f t="shared" si="30"/>
        <v>6.9999999999999751</v>
      </c>
      <c r="V41" s="403">
        <f t="shared" si="29"/>
        <v>104.00000000000003</v>
      </c>
      <c r="W41" s="397"/>
      <c r="X41" s="397"/>
      <c r="Y41" s="397"/>
      <c r="Z41" s="397"/>
      <c r="AA41" s="612"/>
      <c r="AB41" s="612"/>
      <c r="AC41" s="18"/>
      <c r="AD41" s="18"/>
      <c r="AE41" s="14">
        <f t="shared" si="8"/>
        <v>-112.50000000000045</v>
      </c>
      <c r="AF41" s="398">
        <f t="shared" si="9"/>
        <v>0.95312499999999978</v>
      </c>
      <c r="AG41" s="616"/>
    </row>
    <row r="42" spans="1:33">
      <c r="A42" s="630" t="s">
        <v>2062</v>
      </c>
      <c r="B42" s="27" t="s">
        <v>20</v>
      </c>
      <c r="C42" s="660" t="s">
        <v>26</v>
      </c>
      <c r="D42" s="660"/>
      <c r="E42" s="27">
        <v>34.1</v>
      </c>
      <c r="F42" s="404">
        <v>3800</v>
      </c>
      <c r="G42" s="397">
        <f t="shared" si="27"/>
        <v>129580</v>
      </c>
      <c r="H42" s="31">
        <v>2</v>
      </c>
      <c r="I42" s="402">
        <v>17</v>
      </c>
      <c r="J42" s="29">
        <v>1600</v>
      </c>
      <c r="K42" s="12">
        <f t="shared" si="1"/>
        <v>94.117647058823536</v>
      </c>
      <c r="L42" s="402">
        <v>17</v>
      </c>
      <c r="M42" s="13">
        <f t="shared" si="28"/>
        <v>1530.2013422818789</v>
      </c>
      <c r="N42" s="12">
        <f t="shared" si="3"/>
        <v>90.011843663639937</v>
      </c>
      <c r="O42" s="14">
        <f t="shared" si="4"/>
        <v>0</v>
      </c>
      <c r="P42" s="15">
        <f t="shared" si="5"/>
        <v>-4.1058033951835995</v>
      </c>
      <c r="Q42" s="398">
        <f t="shared" si="6"/>
        <v>0.95637583892617428</v>
      </c>
      <c r="R42" s="616"/>
      <c r="S42" s="32">
        <v>0.32916666666666666</v>
      </c>
      <c r="T42" s="32">
        <v>0.43263888888888891</v>
      </c>
      <c r="U42" s="397">
        <f t="shared" si="30"/>
        <v>4.9999999999999822</v>
      </c>
      <c r="V42" s="403">
        <f t="shared" si="29"/>
        <v>149.00000000000003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-69.798657718121149</v>
      </c>
      <c r="AF42" s="398">
        <f t="shared" si="9"/>
        <v>0.95637583892617428</v>
      </c>
      <c r="AG42" s="616"/>
    </row>
    <row r="43" spans="1:33">
      <c r="A43" s="630" t="s">
        <v>282</v>
      </c>
      <c r="B43" s="27" t="s">
        <v>20</v>
      </c>
      <c r="C43" s="660" t="s">
        <v>64</v>
      </c>
      <c r="D43" s="660"/>
      <c r="E43" s="27">
        <v>20.21</v>
      </c>
      <c r="F43" s="404">
        <v>2708</v>
      </c>
      <c r="G43" s="397">
        <f t="shared" si="27"/>
        <v>54728.68</v>
      </c>
      <c r="H43" s="31" t="s">
        <v>40</v>
      </c>
      <c r="I43" s="402">
        <v>18</v>
      </c>
      <c r="J43" s="29">
        <v>2400</v>
      </c>
      <c r="K43" s="12">
        <f t="shared" si="1"/>
        <v>133.33333333333334</v>
      </c>
      <c r="L43" s="402">
        <v>18</v>
      </c>
      <c r="M43" s="13">
        <f t="shared" si="28"/>
        <v>2288.4507042253526</v>
      </c>
      <c r="N43" s="12">
        <f t="shared" si="3"/>
        <v>127.13615023474182</v>
      </c>
      <c r="O43" s="14">
        <f t="shared" si="4"/>
        <v>0</v>
      </c>
      <c r="P43" s="15">
        <f t="shared" si="5"/>
        <v>-6.1971830985915233</v>
      </c>
      <c r="Q43" s="398">
        <f t="shared" si="6"/>
        <v>0.95352112676056355</v>
      </c>
      <c r="R43" s="616"/>
      <c r="S43" s="32">
        <v>0.43819444444444444</v>
      </c>
      <c r="T43" s="32">
        <v>0.48749999999999999</v>
      </c>
      <c r="U43" s="397">
        <f t="shared" si="30"/>
        <v>7.9999999999999716</v>
      </c>
      <c r="V43" s="403">
        <f t="shared" si="29"/>
        <v>70.999999999999986</v>
      </c>
      <c r="W43" s="16">
        <f>T43</f>
        <v>0.48749999999999999</v>
      </c>
      <c r="X43" s="16">
        <f>S44</f>
        <v>0.52777777777777779</v>
      </c>
      <c r="Y43" s="16"/>
      <c r="Z43" s="16"/>
      <c r="AA43" s="612"/>
      <c r="AB43" s="612"/>
      <c r="AC43" s="18"/>
      <c r="AD43" s="18"/>
      <c r="AE43" s="14">
        <f t="shared" si="8"/>
        <v>-111.54929577464736</v>
      </c>
      <c r="AF43" s="398">
        <f t="shared" si="9"/>
        <v>0.95352112676056355</v>
      </c>
      <c r="AG43" s="616"/>
    </row>
    <row r="44" spans="1:33">
      <c r="A44" s="630" t="s">
        <v>2063</v>
      </c>
      <c r="B44" s="27" t="s">
        <v>20</v>
      </c>
      <c r="C44" s="660" t="s">
        <v>58</v>
      </c>
      <c r="D44" s="660"/>
      <c r="E44" s="27">
        <v>26.18</v>
      </c>
      <c r="F44" s="404">
        <v>2385</v>
      </c>
      <c r="G44" s="397">
        <f t="shared" si="27"/>
        <v>62439.3</v>
      </c>
      <c r="H44" s="31" t="s">
        <v>40</v>
      </c>
      <c r="I44" s="402">
        <v>20</v>
      </c>
      <c r="J44" s="29">
        <v>2400</v>
      </c>
      <c r="K44" s="12">
        <f t="shared" si="1"/>
        <v>120</v>
      </c>
      <c r="L44" s="402">
        <v>20</v>
      </c>
      <c r="M44" s="13">
        <f t="shared" si="28"/>
        <v>2308.0645161290345</v>
      </c>
      <c r="N44" s="12">
        <f t="shared" si="3"/>
        <v>115.40322580645173</v>
      </c>
      <c r="O44" s="14">
        <f t="shared" si="4"/>
        <v>0</v>
      </c>
      <c r="P44" s="15">
        <f t="shared" si="5"/>
        <v>-4.5967741935482707</v>
      </c>
      <c r="Q44" s="398">
        <f t="shared" si="6"/>
        <v>0.96169354838709775</v>
      </c>
      <c r="R44" s="616"/>
      <c r="S44" s="32">
        <v>0.52777777777777779</v>
      </c>
      <c r="T44" s="32">
        <v>0.5708333333333333</v>
      </c>
      <c r="U44" s="397">
        <f t="shared" si="30"/>
        <v>58.000000000000036</v>
      </c>
      <c r="V44" s="403">
        <f t="shared" si="29"/>
        <v>61.999999999999943</v>
      </c>
      <c r="W44" s="16"/>
      <c r="X44" s="16"/>
      <c r="Y44" s="16"/>
      <c r="Z44" s="16"/>
      <c r="AA44" s="612"/>
      <c r="AB44" s="612"/>
      <c r="AC44" s="18"/>
      <c r="AD44" s="18"/>
      <c r="AE44" s="14">
        <f t="shared" si="8"/>
        <v>-91.935483870965527</v>
      </c>
      <c r="AF44" s="398">
        <f t="shared" si="9"/>
        <v>0.96169354838709775</v>
      </c>
      <c r="AG44" s="616"/>
    </row>
    <row r="45" spans="1:33">
      <c r="A45" s="630" t="s">
        <v>282</v>
      </c>
      <c r="B45" s="27" t="s">
        <v>20</v>
      </c>
      <c r="C45" s="660" t="s">
        <v>25</v>
      </c>
      <c r="D45" s="660"/>
      <c r="E45" s="27">
        <v>24.43</v>
      </c>
      <c r="F45" s="404">
        <v>2960</v>
      </c>
      <c r="G45" s="397">
        <f t="shared" si="27"/>
        <v>72312.800000000003</v>
      </c>
      <c r="H45" s="31" t="s">
        <v>40</v>
      </c>
      <c r="I45" s="402">
        <v>14</v>
      </c>
      <c r="J45" s="29">
        <v>2400</v>
      </c>
      <c r="K45" s="12">
        <f t="shared" si="1"/>
        <v>171.42857142857142</v>
      </c>
      <c r="L45" s="402">
        <v>14</v>
      </c>
      <c r="M45" s="13">
        <f t="shared" si="28"/>
        <v>2306.4935064935053</v>
      </c>
      <c r="N45" s="12">
        <f t="shared" si="3"/>
        <v>164.74953617810752</v>
      </c>
      <c r="O45" s="14">
        <f t="shared" si="4"/>
        <v>0</v>
      </c>
      <c r="P45" s="15">
        <f t="shared" si="5"/>
        <v>-6.6790352504638975</v>
      </c>
      <c r="Q45" s="398">
        <f t="shared" si="6"/>
        <v>0.96103896103896058</v>
      </c>
      <c r="R45" s="616"/>
      <c r="S45" s="32">
        <v>0.57499999999999996</v>
      </c>
      <c r="T45" s="32">
        <v>0.62847222222222221</v>
      </c>
      <c r="U45" s="397">
        <f t="shared" si="30"/>
        <v>5.9999999999999787</v>
      </c>
      <c r="V45" s="403">
        <f t="shared" si="29"/>
        <v>77.000000000000043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-93.506493506494735</v>
      </c>
      <c r="AF45" s="398">
        <f t="shared" si="9"/>
        <v>0.96103896103896058</v>
      </c>
      <c r="AG45" s="616"/>
    </row>
    <row r="46" spans="1:33">
      <c r="A46" s="630" t="s">
        <v>2064</v>
      </c>
      <c r="B46" s="27" t="s">
        <v>20</v>
      </c>
      <c r="C46" s="660" t="s">
        <v>26</v>
      </c>
      <c r="D46" s="660"/>
      <c r="E46" s="27">
        <v>34.1</v>
      </c>
      <c r="F46" s="404">
        <v>2514</v>
      </c>
      <c r="G46" s="397">
        <f t="shared" si="27"/>
        <v>85727.400000000009</v>
      </c>
      <c r="H46" s="31" t="s">
        <v>40</v>
      </c>
      <c r="I46" s="402">
        <v>17</v>
      </c>
      <c r="J46" s="29">
        <v>1600</v>
      </c>
      <c r="K46" s="12">
        <f t="shared" si="1"/>
        <v>94.117647058823536</v>
      </c>
      <c r="L46" s="402">
        <v>17</v>
      </c>
      <c r="M46" s="13">
        <f t="shared" si="28"/>
        <v>1523.6363636363642</v>
      </c>
      <c r="N46" s="12">
        <f t="shared" si="3"/>
        <v>89.625668449197889</v>
      </c>
      <c r="O46" s="14">
        <f t="shared" si="4"/>
        <v>0</v>
      </c>
      <c r="P46" s="15">
        <f t="shared" si="5"/>
        <v>-4.4919786096256473</v>
      </c>
      <c r="Q46" s="398">
        <f t="shared" si="6"/>
        <v>0.95227272727272749</v>
      </c>
      <c r="R46" s="616"/>
      <c r="S46" s="32">
        <v>0.63402777777777775</v>
      </c>
      <c r="T46" s="32">
        <v>0.70277777777777772</v>
      </c>
      <c r="U46" s="397">
        <f t="shared" si="30"/>
        <v>7.9999999999999716</v>
      </c>
      <c r="V46" s="403">
        <f t="shared" si="29"/>
        <v>98.999999999999972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-76.363636363635806</v>
      </c>
      <c r="AF46" s="398">
        <f t="shared" si="9"/>
        <v>0.9522727272727276</v>
      </c>
      <c r="AG46" s="616"/>
    </row>
    <row r="47" spans="1:33">
      <c r="A47" s="630" t="s">
        <v>282</v>
      </c>
      <c r="B47" s="28" t="s">
        <v>70</v>
      </c>
      <c r="C47" s="658"/>
      <c r="D47" s="658"/>
      <c r="E47" s="399"/>
      <c r="F47" s="28"/>
      <c r="G47" s="12"/>
      <c r="H47" s="404"/>
      <c r="I47" s="21">
        <v>17.5</v>
      </c>
      <c r="J47" s="29">
        <v>2200</v>
      </c>
      <c r="K47" s="12">
        <f t="shared" si="1"/>
        <v>125.71428571428571</v>
      </c>
      <c r="L47" s="21">
        <v>17.5</v>
      </c>
      <c r="M47" s="13">
        <f>AVERAGE(M39:M46)</f>
        <v>2104.7857283381909</v>
      </c>
      <c r="N47" s="12">
        <f t="shared" si="3"/>
        <v>120.27347019075377</v>
      </c>
      <c r="O47" s="14">
        <f t="shared" si="4"/>
        <v>0</v>
      </c>
      <c r="P47" s="15">
        <f t="shared" si="5"/>
        <v>-5.4408155235319384</v>
      </c>
      <c r="Q47" s="398">
        <f t="shared" si="6"/>
        <v>0.95672078560826868</v>
      </c>
      <c r="R47" s="616"/>
      <c r="S47" s="32"/>
      <c r="T47" s="32"/>
      <c r="U47" s="12"/>
      <c r="V47" s="403"/>
      <c r="W47" s="12"/>
      <c r="X47" s="12"/>
      <c r="Y47" s="22">
        <f>SUM(Y39:Y46)</f>
        <v>0</v>
      </c>
      <c r="Z47" s="22">
        <f>SUM(Z39:Z46)</f>
        <v>0</v>
      </c>
      <c r="AA47" s="611"/>
      <c r="AB47" s="611"/>
      <c r="AC47" s="22">
        <v>8</v>
      </c>
      <c r="AD47" s="22">
        <f>SUM(AD39:AD46)</f>
        <v>0</v>
      </c>
      <c r="AE47" s="14">
        <f t="shared" si="8"/>
        <v>-95.214271661809107</v>
      </c>
      <c r="AF47" s="398">
        <f t="shared" si="9"/>
        <v>0.95672078560826856</v>
      </c>
      <c r="AG47" s="616"/>
    </row>
    <row r="48" spans="1:33" ht="15.75" customHeight="1">
      <c r="A48" s="623" t="s">
        <v>75</v>
      </c>
      <c r="B48" s="27" t="s">
        <v>27</v>
      </c>
      <c r="C48" s="605" t="s">
        <v>33</v>
      </c>
      <c r="D48" s="606"/>
      <c r="E48" s="27">
        <v>34.36</v>
      </c>
      <c r="F48" s="404">
        <v>2209</v>
      </c>
      <c r="G48" s="397">
        <f t="shared" ref="G48:G51" si="31">E48*F48</f>
        <v>75901.240000000005</v>
      </c>
      <c r="H48" s="31" t="s">
        <v>40</v>
      </c>
      <c r="I48" s="402">
        <v>10</v>
      </c>
      <c r="J48" s="29">
        <v>3000</v>
      </c>
      <c r="K48" s="12">
        <f t="shared" si="1"/>
        <v>300</v>
      </c>
      <c r="L48" s="402">
        <v>10</v>
      </c>
      <c r="M48" s="13">
        <f t="shared" ref="M48:M51" si="32">F48/V48*60</f>
        <v>2881.304347826087</v>
      </c>
      <c r="N48" s="13">
        <f t="shared" si="3"/>
        <v>288.13043478260869</v>
      </c>
      <c r="O48" s="14">
        <f t="shared" si="4"/>
        <v>0</v>
      </c>
      <c r="P48" s="15">
        <f t="shared" si="5"/>
        <v>-11.869565217391312</v>
      </c>
      <c r="Q48" s="398">
        <f t="shared" si="6"/>
        <v>0.96043478260869564</v>
      </c>
      <c r="R48" s="626">
        <f>Q52</f>
        <v>0.95801343345822787</v>
      </c>
      <c r="S48" s="32">
        <v>0.20833333333333334</v>
      </c>
      <c r="T48" s="32">
        <v>0.24027777777777778</v>
      </c>
      <c r="U48" s="20"/>
      <c r="V48" s="403">
        <f t="shared" ref="V48:V51" si="33">(T48-S48)*24*60</f>
        <v>46</v>
      </c>
      <c r="W48" s="16"/>
      <c r="X48" s="16"/>
      <c r="Y48" s="19"/>
      <c r="Z48" s="19"/>
      <c r="AA48" s="607"/>
      <c r="AB48" s="608"/>
      <c r="AC48" s="18">
        <v>4</v>
      </c>
      <c r="AD48" s="18"/>
      <c r="AE48" s="14">
        <f t="shared" si="8"/>
        <v>-118.695652173913</v>
      </c>
      <c r="AF48" s="398">
        <f t="shared" si="9"/>
        <v>0.96043478260869564</v>
      </c>
      <c r="AG48" s="626">
        <f>AF52</f>
        <v>0.95801343345822776</v>
      </c>
    </row>
    <row r="49" spans="1:33" ht="15.75" customHeight="1">
      <c r="A49" s="624" t="s">
        <v>2065</v>
      </c>
      <c r="B49" s="27" t="s">
        <v>27</v>
      </c>
      <c r="C49" s="605" t="s">
        <v>29</v>
      </c>
      <c r="D49" s="606"/>
      <c r="E49" s="27">
        <v>21.13</v>
      </c>
      <c r="F49" s="404">
        <v>5420</v>
      </c>
      <c r="G49" s="397">
        <f t="shared" si="31"/>
        <v>114524.59999999999</v>
      </c>
      <c r="H49" s="31" t="s">
        <v>40</v>
      </c>
      <c r="I49" s="402">
        <v>10</v>
      </c>
      <c r="J49" s="29">
        <v>3000</v>
      </c>
      <c r="K49" s="12">
        <f t="shared" si="1"/>
        <v>300</v>
      </c>
      <c r="L49" s="402">
        <v>10</v>
      </c>
      <c r="M49" s="13">
        <f t="shared" si="32"/>
        <v>2852.6315789473683</v>
      </c>
      <c r="N49" s="13">
        <f t="shared" si="3"/>
        <v>285.26315789473682</v>
      </c>
      <c r="O49" s="14">
        <f t="shared" si="4"/>
        <v>0</v>
      </c>
      <c r="P49" s="15">
        <f t="shared" si="5"/>
        <v>-14.736842105263179</v>
      </c>
      <c r="Q49" s="398">
        <f t="shared" si="6"/>
        <v>0.9508771929824561</v>
      </c>
      <c r="R49" s="627"/>
      <c r="S49" s="32">
        <v>0.24513888888888891</v>
      </c>
      <c r="T49" s="32">
        <v>0.32430555555555557</v>
      </c>
      <c r="U49" s="397">
        <f t="shared" ref="U49:U51" si="34">(S49-T48)*24*60</f>
        <v>7.0000000000000151</v>
      </c>
      <c r="V49" s="403">
        <f t="shared" si="33"/>
        <v>114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-147.36842105263167</v>
      </c>
      <c r="AF49" s="398">
        <f t="shared" si="9"/>
        <v>0.9508771929824561</v>
      </c>
      <c r="AG49" s="627"/>
    </row>
    <row r="50" spans="1:33" ht="15.75" customHeight="1">
      <c r="A50" s="624" t="s">
        <v>2066</v>
      </c>
      <c r="B50" s="27" t="s">
        <v>27</v>
      </c>
      <c r="C50" s="605" t="s">
        <v>30</v>
      </c>
      <c r="D50" s="606"/>
      <c r="E50" s="27">
        <v>27.17</v>
      </c>
      <c r="F50" s="404">
        <v>4994</v>
      </c>
      <c r="G50" s="397">
        <f t="shared" si="31"/>
        <v>135686.98000000001</v>
      </c>
      <c r="H50" s="31" t="s">
        <v>40</v>
      </c>
      <c r="I50" s="402">
        <v>10</v>
      </c>
      <c r="J50" s="29">
        <v>3000</v>
      </c>
      <c r="K50" s="12">
        <f t="shared" si="1"/>
        <v>300</v>
      </c>
      <c r="L50" s="402">
        <v>10</v>
      </c>
      <c r="M50" s="13">
        <f t="shared" si="32"/>
        <v>2881.1538461538457</v>
      </c>
      <c r="N50" s="13">
        <f t="shared" si="3"/>
        <v>288.11538461538458</v>
      </c>
      <c r="O50" s="14">
        <f t="shared" si="4"/>
        <v>0</v>
      </c>
      <c r="P50" s="15">
        <f t="shared" si="5"/>
        <v>-11.884615384615415</v>
      </c>
      <c r="Q50" s="398">
        <f t="shared" si="6"/>
        <v>0.96038461538461528</v>
      </c>
      <c r="R50" s="627"/>
      <c r="S50" s="32">
        <v>0.3298611111111111</v>
      </c>
      <c r="T50" s="32">
        <v>0.40208333333333335</v>
      </c>
      <c r="U50" s="397">
        <f t="shared" si="34"/>
        <v>7.9999999999999716</v>
      </c>
      <c r="V50" s="403">
        <f t="shared" si="33"/>
        <v>104.00000000000003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-118.84615384615427</v>
      </c>
      <c r="AF50" s="398">
        <f t="shared" si="9"/>
        <v>0.96038461538461528</v>
      </c>
      <c r="AG50" s="627"/>
    </row>
    <row r="51" spans="1:33" ht="15.75" customHeight="1">
      <c r="A51" s="624" t="s">
        <v>75</v>
      </c>
      <c r="B51" s="27" t="s">
        <v>27</v>
      </c>
      <c r="C51" s="605" t="s">
        <v>35</v>
      </c>
      <c r="D51" s="606"/>
      <c r="E51" s="27">
        <v>35.869999999999997</v>
      </c>
      <c r="F51" s="404">
        <v>2689</v>
      </c>
      <c r="G51" s="397">
        <f t="shared" si="31"/>
        <v>96454.43</v>
      </c>
      <c r="H51" s="31" t="s">
        <v>40</v>
      </c>
      <c r="I51" s="402">
        <v>9</v>
      </c>
      <c r="J51" s="29">
        <v>3000</v>
      </c>
      <c r="K51" s="12">
        <f t="shared" si="1"/>
        <v>333.33333333333331</v>
      </c>
      <c r="L51" s="402">
        <v>9</v>
      </c>
      <c r="M51" s="13">
        <f t="shared" si="32"/>
        <v>2881.0714285714307</v>
      </c>
      <c r="N51" s="13">
        <f t="shared" si="3"/>
        <v>320.11904761904788</v>
      </c>
      <c r="O51" s="14">
        <f t="shared" si="4"/>
        <v>0</v>
      </c>
      <c r="P51" s="15">
        <f t="shared" si="5"/>
        <v>-13.214285714285438</v>
      </c>
      <c r="Q51" s="398">
        <f t="shared" si="6"/>
        <v>0.96035714285714369</v>
      </c>
      <c r="R51" s="627"/>
      <c r="S51" s="32">
        <v>0.40625</v>
      </c>
      <c r="T51" s="32">
        <v>0.44513888888888886</v>
      </c>
      <c r="U51" s="397">
        <f t="shared" si="34"/>
        <v>5.9999999999999787</v>
      </c>
      <c r="V51" s="403">
        <f t="shared" si="33"/>
        <v>55.999999999999957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8"/>
        <v>-118.92857142856928</v>
      </c>
      <c r="AF51" s="398">
        <f t="shared" si="9"/>
        <v>0.96035714285714358</v>
      </c>
      <c r="AG51" s="627"/>
    </row>
    <row r="52" spans="1:33" ht="15.75" customHeight="1">
      <c r="A52" s="625" t="s">
        <v>2066</v>
      </c>
      <c r="B52" s="27" t="s">
        <v>275</v>
      </c>
      <c r="C52" s="609"/>
      <c r="D52" s="610"/>
      <c r="E52" s="395"/>
      <c r="F52" s="404"/>
      <c r="G52" s="397"/>
      <c r="H52" s="404"/>
      <c r="I52" s="21">
        <v>9.75</v>
      </c>
      <c r="J52" s="29">
        <v>3000</v>
      </c>
      <c r="K52" s="12">
        <f t="shared" si="1"/>
        <v>307.69230769230768</v>
      </c>
      <c r="L52" s="21">
        <v>9.75</v>
      </c>
      <c r="M52" s="13">
        <f>AVERAGE(M48:M51)</f>
        <v>2874.0403003746833</v>
      </c>
      <c r="N52" s="12">
        <f t="shared" si="3"/>
        <v>294.77336414099318</v>
      </c>
      <c r="O52" s="14">
        <f t="shared" si="4"/>
        <v>0</v>
      </c>
      <c r="P52" s="15">
        <f t="shared" si="5"/>
        <v>-12.918943551314499</v>
      </c>
      <c r="Q52" s="398">
        <f t="shared" si="6"/>
        <v>0.95801343345822787</v>
      </c>
      <c r="R52" s="628"/>
      <c r="S52" s="32"/>
      <c r="T52" s="32"/>
      <c r="U52" s="397"/>
      <c r="V52" s="403"/>
      <c r="W52" s="16"/>
      <c r="X52" s="16"/>
      <c r="Y52" s="22">
        <f>SUM(Y48:Y51)</f>
        <v>0</v>
      </c>
      <c r="Z52" s="22">
        <f>SUM(Z48:Z51)</f>
        <v>0</v>
      </c>
      <c r="AA52" s="619"/>
      <c r="AB52" s="620"/>
      <c r="AC52" s="22">
        <v>4</v>
      </c>
      <c r="AD52" s="22">
        <f>SUM(AD48:AD51)</f>
        <v>0</v>
      </c>
      <c r="AE52" s="14">
        <f t="shared" si="8"/>
        <v>-125.95969962531672</v>
      </c>
      <c r="AF52" s="398">
        <f t="shared" si="9"/>
        <v>0.95801343345822776</v>
      </c>
      <c r="AG52" s="628"/>
    </row>
    <row r="53" spans="1:33" ht="15.75" customHeight="1">
      <c r="A53" s="621" t="s">
        <v>2067</v>
      </c>
      <c r="B53" s="27" t="s">
        <v>5</v>
      </c>
      <c r="C53" s="660" t="s">
        <v>15</v>
      </c>
      <c r="D53" s="660"/>
      <c r="E53" s="27">
        <v>59.04</v>
      </c>
      <c r="F53" s="30">
        <v>2038</v>
      </c>
      <c r="G53" s="397">
        <f t="shared" ref="G53:G60" si="35">E53*F53</f>
        <v>120323.52</v>
      </c>
      <c r="H53" s="31" t="s">
        <v>40</v>
      </c>
      <c r="I53" s="402">
        <v>19</v>
      </c>
      <c r="J53" s="29">
        <v>2000</v>
      </c>
      <c r="K53" s="12">
        <f t="shared" si="1"/>
        <v>105.26315789473684</v>
      </c>
      <c r="L53" s="402">
        <v>19</v>
      </c>
      <c r="M53" s="13">
        <f t="shared" ref="M53" si="36">F53/V53*60</f>
        <v>1910.6250000000009</v>
      </c>
      <c r="N53" s="13">
        <f t="shared" si="3"/>
        <v>100.55921052631584</v>
      </c>
      <c r="O53" s="14">
        <f t="shared" si="4"/>
        <v>0</v>
      </c>
      <c r="P53" s="15">
        <f t="shared" si="5"/>
        <v>-4.703947368420998</v>
      </c>
      <c r="Q53" s="398">
        <f t="shared" si="6"/>
        <v>0.95531250000000056</v>
      </c>
      <c r="R53" s="616">
        <f>Q61</f>
        <v>0.96273228593752813</v>
      </c>
      <c r="S53" s="32">
        <v>0.20833333333333334</v>
      </c>
      <c r="T53" s="32">
        <v>0.25277777777777777</v>
      </c>
      <c r="U53" s="20"/>
      <c r="V53" s="403">
        <f t="shared" ref="V53:V60" si="37">(T53-S53)*24*60</f>
        <v>63.999999999999972</v>
      </c>
      <c r="W53" s="16"/>
      <c r="X53" s="16"/>
      <c r="Y53" s="20"/>
      <c r="Z53" s="20"/>
      <c r="AA53" s="612"/>
      <c r="AB53" s="612"/>
      <c r="AC53" s="18">
        <v>8</v>
      </c>
      <c r="AD53" s="18"/>
      <c r="AE53" s="14">
        <f t="shared" si="8"/>
        <v>-89.374999999999091</v>
      </c>
      <c r="AF53" s="398">
        <f t="shared" si="9"/>
        <v>0.95531250000000045</v>
      </c>
      <c r="AG53" s="616">
        <f>AF61</f>
        <v>0.96273228593752824</v>
      </c>
    </row>
    <row r="54" spans="1:33" ht="15.75" customHeight="1">
      <c r="A54" s="621" t="s">
        <v>2068</v>
      </c>
      <c r="B54" s="27" t="s">
        <v>5</v>
      </c>
      <c r="C54" s="660" t="s">
        <v>31</v>
      </c>
      <c r="D54" s="660"/>
      <c r="E54" s="27">
        <v>56.43</v>
      </c>
      <c r="F54" s="30">
        <v>1292</v>
      </c>
      <c r="G54" s="397">
        <f t="shared" si="35"/>
        <v>72907.56</v>
      </c>
      <c r="H54" s="31" t="s">
        <v>40</v>
      </c>
      <c r="I54" s="402">
        <v>22</v>
      </c>
      <c r="J54" s="29">
        <v>2000</v>
      </c>
      <c r="K54" s="12">
        <f t="shared" si="1"/>
        <v>90.909090909090907</v>
      </c>
      <c r="L54" s="402">
        <v>22</v>
      </c>
      <c r="M54" s="13">
        <f>F54/V54*60</f>
        <v>1937.9999999999993</v>
      </c>
      <c r="N54" s="13">
        <f t="shared" si="3"/>
        <v>88.090909090909065</v>
      </c>
      <c r="O54" s="14">
        <f t="shared" si="4"/>
        <v>0</v>
      </c>
      <c r="P54" s="15">
        <f t="shared" si="5"/>
        <v>-2.8181818181818414</v>
      </c>
      <c r="Q54" s="398">
        <f t="shared" si="6"/>
        <v>0.96899999999999975</v>
      </c>
      <c r="R54" s="616"/>
      <c r="S54" s="32">
        <v>0.25763888888888886</v>
      </c>
      <c r="T54" s="32">
        <v>0.28541666666666665</v>
      </c>
      <c r="U54" s="397">
        <f t="shared" ref="U54:U60" si="38">IF(S54=TIME(17,0,0),"",(S54-T53)*24*60)</f>
        <v>6.9999999999999751</v>
      </c>
      <c r="V54" s="403">
        <f t="shared" si="37"/>
        <v>40.000000000000014</v>
      </c>
      <c r="W54" s="16"/>
      <c r="X54" s="16"/>
      <c r="Y54" s="16"/>
      <c r="Z54" s="16"/>
      <c r="AA54" s="612"/>
      <c r="AB54" s="612"/>
      <c r="AC54" s="18"/>
      <c r="AD54" s="18"/>
      <c r="AE54" s="14">
        <f t="shared" si="8"/>
        <v>-62.000000000000682</v>
      </c>
      <c r="AF54" s="398">
        <f t="shared" si="9"/>
        <v>0.96899999999999964</v>
      </c>
      <c r="AG54" s="616"/>
    </row>
    <row r="55" spans="1:33" ht="15.75" customHeight="1">
      <c r="A55" s="621" t="s">
        <v>71</v>
      </c>
      <c r="B55" s="27" t="s">
        <v>5</v>
      </c>
      <c r="C55" s="605" t="s">
        <v>81</v>
      </c>
      <c r="D55" s="606"/>
      <c r="E55" s="27">
        <v>51.44</v>
      </c>
      <c r="F55" s="30">
        <v>1897</v>
      </c>
      <c r="G55" s="397">
        <f t="shared" si="35"/>
        <v>97581.68</v>
      </c>
      <c r="H55" s="31" t="s">
        <v>40</v>
      </c>
      <c r="I55" s="402">
        <v>25</v>
      </c>
      <c r="J55" s="29">
        <v>2000</v>
      </c>
      <c r="K55" s="12">
        <f t="shared" si="1"/>
        <v>80</v>
      </c>
      <c r="L55" s="402">
        <v>25</v>
      </c>
      <c r="M55" s="13">
        <f t="shared" ref="M55:M60" si="39">F55/V55*60</f>
        <v>1929.1525423728806</v>
      </c>
      <c r="N55" s="13">
        <f t="shared" si="3"/>
        <v>77.166101694915227</v>
      </c>
      <c r="O55" s="14">
        <f t="shared" si="4"/>
        <v>0</v>
      </c>
      <c r="P55" s="15">
        <f t="shared" si="5"/>
        <v>-2.833898305084773</v>
      </c>
      <c r="Q55" s="398">
        <f t="shared" si="6"/>
        <v>0.96457627118644029</v>
      </c>
      <c r="R55" s="616"/>
      <c r="S55" s="32">
        <v>0.29097222222222219</v>
      </c>
      <c r="T55" s="32">
        <v>0.33194444444444443</v>
      </c>
      <c r="U55" s="397">
        <f t="shared" si="38"/>
        <v>7.9999999999999716</v>
      </c>
      <c r="V55" s="403">
        <f t="shared" si="37"/>
        <v>59.000000000000028</v>
      </c>
      <c r="W55" s="16"/>
      <c r="X55" s="16"/>
      <c r="Y55" s="19"/>
      <c r="Z55" s="19"/>
      <c r="AA55" s="612"/>
      <c r="AB55" s="612"/>
      <c r="AC55" s="18"/>
      <c r="AD55" s="18"/>
      <c r="AE55" s="14">
        <f t="shared" si="8"/>
        <v>-70.847457627119411</v>
      </c>
      <c r="AF55" s="398">
        <f t="shared" si="9"/>
        <v>0.96457627118644029</v>
      </c>
      <c r="AG55" s="616"/>
    </row>
    <row r="56" spans="1:33" ht="15.75" customHeight="1">
      <c r="A56" s="621" t="s">
        <v>71</v>
      </c>
      <c r="B56" s="27" t="s">
        <v>8</v>
      </c>
      <c r="C56" s="391" t="s">
        <v>61</v>
      </c>
      <c r="D56" s="392"/>
      <c r="E56" s="27">
        <v>46</v>
      </c>
      <c r="F56" s="30">
        <v>1822</v>
      </c>
      <c r="G56" s="397">
        <f t="shared" si="35"/>
        <v>83812</v>
      </c>
      <c r="H56" s="31" t="s">
        <v>40</v>
      </c>
      <c r="I56" s="402">
        <v>16</v>
      </c>
      <c r="J56" s="29">
        <v>2000</v>
      </c>
      <c r="K56" s="12">
        <f t="shared" si="1"/>
        <v>125</v>
      </c>
      <c r="L56" s="402">
        <v>16</v>
      </c>
      <c r="M56" s="13">
        <f t="shared" si="39"/>
        <v>1917.8947368421041</v>
      </c>
      <c r="N56" s="13">
        <f t="shared" si="3"/>
        <v>119.8684210526315</v>
      </c>
      <c r="O56" s="14">
        <f t="shared" si="4"/>
        <v>0</v>
      </c>
      <c r="P56" s="15">
        <f t="shared" si="5"/>
        <v>-5.1315789473684958</v>
      </c>
      <c r="Q56" s="398">
        <f t="shared" si="6"/>
        <v>0.95894736842105199</v>
      </c>
      <c r="R56" s="616"/>
      <c r="S56" s="32">
        <v>0.33541666666666664</v>
      </c>
      <c r="T56" s="32">
        <v>0.375</v>
      </c>
      <c r="U56" s="397">
        <f t="shared" si="38"/>
        <v>4.9999999999999822</v>
      </c>
      <c r="V56" s="403">
        <f t="shared" si="37"/>
        <v>57.000000000000036</v>
      </c>
      <c r="W56" s="16"/>
      <c r="X56" s="16"/>
      <c r="Y56" s="19"/>
      <c r="Z56" s="19"/>
      <c r="AA56" s="612"/>
      <c r="AB56" s="612"/>
      <c r="AC56" s="18"/>
      <c r="AD56" s="18"/>
      <c r="AE56" s="14">
        <f t="shared" si="8"/>
        <v>-82.105263157895934</v>
      </c>
      <c r="AF56" s="398">
        <f t="shared" si="9"/>
        <v>0.95894736842105199</v>
      </c>
      <c r="AG56" s="616"/>
    </row>
    <row r="57" spans="1:33" ht="15.75" customHeight="1">
      <c r="A57" s="621" t="s">
        <v>71</v>
      </c>
      <c r="B57" s="27" t="s">
        <v>8</v>
      </c>
      <c r="C57" s="391" t="s">
        <v>79</v>
      </c>
      <c r="D57" s="392"/>
      <c r="E57" s="27">
        <v>46</v>
      </c>
      <c r="F57" s="30">
        <v>2302</v>
      </c>
      <c r="G57" s="397">
        <f t="shared" si="35"/>
        <v>105892</v>
      </c>
      <c r="H57" s="31" t="s">
        <v>40</v>
      </c>
      <c r="I57" s="402">
        <v>17</v>
      </c>
      <c r="J57" s="29">
        <v>2000</v>
      </c>
      <c r="K57" s="12">
        <f t="shared" si="1"/>
        <v>117.64705882352941</v>
      </c>
      <c r="L57" s="402">
        <v>17</v>
      </c>
      <c r="M57" s="13">
        <f t="shared" si="39"/>
        <v>1918.3333333333337</v>
      </c>
      <c r="N57" s="13">
        <f t="shared" si="3"/>
        <v>112.84313725490199</v>
      </c>
      <c r="O57" s="14">
        <f t="shared" si="4"/>
        <v>0</v>
      </c>
      <c r="P57" s="15">
        <f t="shared" si="5"/>
        <v>-4.8039215686274161</v>
      </c>
      <c r="Q57" s="398">
        <f t="shared" si="6"/>
        <v>0.95916666666666694</v>
      </c>
      <c r="R57" s="616"/>
      <c r="S57" s="32">
        <v>0.37916666666666665</v>
      </c>
      <c r="T57" s="32">
        <v>0.42916666666666664</v>
      </c>
      <c r="U57" s="397">
        <f t="shared" si="38"/>
        <v>5.9999999999999787</v>
      </c>
      <c r="V57" s="403">
        <f t="shared" si="37"/>
        <v>71.999999999999986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8"/>
        <v>-81.666666666666288</v>
      </c>
      <c r="AF57" s="398">
        <f t="shared" si="9"/>
        <v>0.95916666666666683</v>
      </c>
      <c r="AG57" s="616"/>
    </row>
    <row r="58" spans="1:33" ht="15.75" customHeight="1">
      <c r="A58" s="621" t="s">
        <v>2069</v>
      </c>
      <c r="B58" s="27" t="s">
        <v>5</v>
      </c>
      <c r="C58" s="605" t="s">
        <v>77</v>
      </c>
      <c r="D58" s="606"/>
      <c r="E58" s="27">
        <v>54.09</v>
      </c>
      <c r="F58" s="30">
        <v>1265</v>
      </c>
      <c r="G58" s="397">
        <f t="shared" si="35"/>
        <v>68423.850000000006</v>
      </c>
      <c r="H58" s="31" t="s">
        <v>40</v>
      </c>
      <c r="I58" s="402">
        <v>13</v>
      </c>
      <c r="J58" s="29">
        <v>2000</v>
      </c>
      <c r="K58" s="12">
        <f t="shared" si="1"/>
        <v>153.84615384615384</v>
      </c>
      <c r="L58" s="402">
        <v>13</v>
      </c>
      <c r="M58" s="13">
        <f t="shared" si="39"/>
        <v>1946.1538461538451</v>
      </c>
      <c r="N58" s="13">
        <f t="shared" si="3"/>
        <v>149.70414201183422</v>
      </c>
      <c r="O58" s="14">
        <f t="shared" si="4"/>
        <v>0</v>
      </c>
      <c r="P58" s="15">
        <f t="shared" si="5"/>
        <v>-4.1420118343196179</v>
      </c>
      <c r="Q58" s="398">
        <f t="shared" si="6"/>
        <v>0.97307692307692251</v>
      </c>
      <c r="R58" s="616"/>
      <c r="S58" s="32">
        <v>0.70833333333333337</v>
      </c>
      <c r="T58" s="32">
        <v>0.73541666666666672</v>
      </c>
      <c r="U58" s="397" t="str">
        <f t="shared" si="38"/>
        <v/>
      </c>
      <c r="V58" s="403">
        <f t="shared" si="37"/>
        <v>39.000000000000021</v>
      </c>
      <c r="W58" s="16"/>
      <c r="X58" s="16"/>
      <c r="Y58" s="19"/>
      <c r="Z58" s="19"/>
      <c r="AA58" s="607"/>
      <c r="AB58" s="608"/>
      <c r="AC58" s="18"/>
      <c r="AD58" s="18"/>
      <c r="AE58" s="14">
        <f t="shared" si="8"/>
        <v>-53.846153846154948</v>
      </c>
      <c r="AF58" s="398">
        <f t="shared" si="9"/>
        <v>0.97307692307692251</v>
      </c>
      <c r="AG58" s="616"/>
    </row>
    <row r="59" spans="1:33" ht="15.75" customHeight="1">
      <c r="A59" s="621" t="s">
        <v>71</v>
      </c>
      <c r="B59" s="27" t="s">
        <v>5</v>
      </c>
      <c r="C59" s="605" t="s">
        <v>7</v>
      </c>
      <c r="D59" s="606"/>
      <c r="E59" s="27">
        <v>50.67</v>
      </c>
      <c r="F59" s="30">
        <v>1515</v>
      </c>
      <c r="G59" s="397">
        <f t="shared" si="35"/>
        <v>76765.05</v>
      </c>
      <c r="H59" s="31" t="s">
        <v>40</v>
      </c>
      <c r="I59" s="402">
        <v>15</v>
      </c>
      <c r="J59" s="29">
        <v>2000</v>
      </c>
      <c r="K59" s="12">
        <f t="shared" si="1"/>
        <v>133.33333333333334</v>
      </c>
      <c r="L59" s="402">
        <v>15</v>
      </c>
      <c r="M59" s="13">
        <f t="shared" si="39"/>
        <v>1934.0425531914896</v>
      </c>
      <c r="N59" s="13">
        <f t="shared" si="3"/>
        <v>128.93617021276597</v>
      </c>
      <c r="O59" s="14">
        <f t="shared" si="4"/>
        <v>0</v>
      </c>
      <c r="P59" s="15">
        <f t="shared" si="5"/>
        <v>-4.3971631205673702</v>
      </c>
      <c r="Q59" s="398">
        <f t="shared" si="6"/>
        <v>0.96702127659574477</v>
      </c>
      <c r="R59" s="616"/>
      <c r="S59" s="32">
        <v>0.74027777777777781</v>
      </c>
      <c r="T59" s="32">
        <v>0.7729166666666667</v>
      </c>
      <c r="U59" s="397">
        <f t="shared" si="38"/>
        <v>6.9999999999999751</v>
      </c>
      <c r="V59" s="403">
        <f t="shared" si="37"/>
        <v>46.999999999999993</v>
      </c>
      <c r="W59" s="16"/>
      <c r="X59" s="16"/>
      <c r="Y59" s="19"/>
      <c r="Z59" s="19"/>
      <c r="AA59" s="607"/>
      <c r="AB59" s="608"/>
      <c r="AC59" s="18"/>
      <c r="AD59" s="18"/>
      <c r="AE59" s="14">
        <f t="shared" si="8"/>
        <v>-65.95744680851044</v>
      </c>
      <c r="AF59" s="398">
        <f t="shared" si="9"/>
        <v>0.96702127659574477</v>
      </c>
      <c r="AG59" s="616"/>
    </row>
    <row r="60" spans="1:33" ht="15.75" customHeight="1">
      <c r="A60" s="621" t="s">
        <v>2067</v>
      </c>
      <c r="B60" s="27" t="s">
        <v>5</v>
      </c>
      <c r="C60" s="605" t="s">
        <v>62</v>
      </c>
      <c r="D60" s="606"/>
      <c r="E60" s="27">
        <v>51.06</v>
      </c>
      <c r="F60" s="30">
        <v>3278</v>
      </c>
      <c r="G60" s="397">
        <f t="shared" si="35"/>
        <v>167374.68</v>
      </c>
      <c r="H60" s="31" t="s">
        <v>40</v>
      </c>
      <c r="I60" s="402">
        <v>13</v>
      </c>
      <c r="J60" s="29">
        <v>2000</v>
      </c>
      <c r="K60" s="12">
        <f t="shared" si="1"/>
        <v>153.84615384615384</v>
      </c>
      <c r="L60" s="402">
        <v>13</v>
      </c>
      <c r="M60" s="13">
        <f t="shared" si="39"/>
        <v>1909.5145631067969</v>
      </c>
      <c r="N60" s="13">
        <f t="shared" si="3"/>
        <v>146.88573562359977</v>
      </c>
      <c r="O60" s="14">
        <f t="shared" si="4"/>
        <v>0</v>
      </c>
      <c r="P60" s="15">
        <f t="shared" si="5"/>
        <v>-6.9604182225540683</v>
      </c>
      <c r="Q60" s="398">
        <f t="shared" si="6"/>
        <v>0.95475728155339856</v>
      </c>
      <c r="R60" s="616"/>
      <c r="S60" s="32">
        <v>0.77847222222222223</v>
      </c>
      <c r="T60" s="32">
        <v>0.85</v>
      </c>
      <c r="U60" s="397">
        <f t="shared" si="38"/>
        <v>7.9999999999999716</v>
      </c>
      <c r="V60" s="403">
        <f t="shared" si="37"/>
        <v>102.99999999999996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8"/>
        <v>-90.485436893203087</v>
      </c>
      <c r="AF60" s="398">
        <f t="shared" si="9"/>
        <v>0.95475728155339845</v>
      </c>
      <c r="AG60" s="616"/>
    </row>
    <row r="61" spans="1:33">
      <c r="A61" s="622" t="s">
        <v>2068</v>
      </c>
      <c r="B61" s="27" t="s">
        <v>275</v>
      </c>
      <c r="C61" s="658"/>
      <c r="D61" s="658"/>
      <c r="E61" s="399"/>
      <c r="F61" s="28"/>
      <c r="G61" s="12"/>
      <c r="H61" s="404"/>
      <c r="I61" s="21">
        <v>17.5</v>
      </c>
      <c r="J61" s="29">
        <v>2000</v>
      </c>
      <c r="K61" s="12">
        <f t="shared" si="1"/>
        <v>114.28571428571429</v>
      </c>
      <c r="L61" s="21">
        <v>17.5</v>
      </c>
      <c r="M61" s="13">
        <f>AVERAGE(M53:M60)</f>
        <v>1925.4645718750564</v>
      </c>
      <c r="N61" s="12">
        <f t="shared" si="3"/>
        <v>110.02654696428894</v>
      </c>
      <c r="O61" s="14">
        <f t="shared" si="4"/>
        <v>0</v>
      </c>
      <c r="P61" s="15">
        <f t="shared" si="5"/>
        <v>-4.2591673214253518</v>
      </c>
      <c r="Q61" s="398">
        <f t="shared" si="6"/>
        <v>0.96273228593752813</v>
      </c>
      <c r="R61" s="616"/>
      <c r="S61" s="32"/>
      <c r="T61" s="32"/>
      <c r="U61" s="397"/>
      <c r="V61" s="403"/>
      <c r="W61" s="12"/>
      <c r="X61" s="12"/>
      <c r="Y61" s="22">
        <f>SUM(Y53:Y60)</f>
        <v>0</v>
      </c>
      <c r="Z61" s="22">
        <f>SUM(Z53:Z60)</f>
        <v>0</v>
      </c>
      <c r="AA61" s="611"/>
      <c r="AB61" s="611"/>
      <c r="AC61" s="22">
        <v>8</v>
      </c>
      <c r="AD61" s="22">
        <f>SUM(AD53:AD60)</f>
        <v>0</v>
      </c>
      <c r="AE61" s="14">
        <f>M61-J61</f>
        <v>-74.535428124943564</v>
      </c>
      <c r="AF61" s="398">
        <f t="shared" si="9"/>
        <v>0.96273228593752824</v>
      </c>
      <c r="AG61" s="616"/>
    </row>
    <row r="62" spans="1:33" ht="15.75" customHeight="1">
      <c r="A62" s="617" t="s">
        <v>626</v>
      </c>
      <c r="B62" s="404" t="s">
        <v>27</v>
      </c>
      <c r="C62" s="660" t="s">
        <v>28</v>
      </c>
      <c r="D62" s="660"/>
      <c r="E62" s="27">
        <v>35.119999999999997</v>
      </c>
      <c r="F62" s="30">
        <v>4552</v>
      </c>
      <c r="G62" s="397">
        <f t="shared" ref="G62:G65" si="40">E62*F62</f>
        <v>159866.23999999999</v>
      </c>
      <c r="H62" s="31" t="s">
        <v>40</v>
      </c>
      <c r="I62" s="402">
        <v>10</v>
      </c>
      <c r="J62" s="29">
        <v>3000</v>
      </c>
      <c r="K62" s="12">
        <f t="shared" si="1"/>
        <v>300</v>
      </c>
      <c r="L62" s="402">
        <v>10</v>
      </c>
      <c r="M62" s="13">
        <f t="shared" ref="M62:M65" si="41">F62/V62*60</f>
        <v>2874.947368421052</v>
      </c>
      <c r="N62" s="12">
        <f t="shared" si="3"/>
        <v>287.49473684210523</v>
      </c>
      <c r="O62" s="14">
        <f t="shared" si="4"/>
        <v>0</v>
      </c>
      <c r="P62" s="15">
        <f t="shared" si="5"/>
        <v>-12.505263157894774</v>
      </c>
      <c r="Q62" s="398">
        <f t="shared" si="6"/>
        <v>0.95831578947368412</v>
      </c>
      <c r="R62" s="616">
        <f>Q66</f>
        <v>0.96270116959064345</v>
      </c>
      <c r="S62" s="32">
        <v>0.20833333333333334</v>
      </c>
      <c r="T62" s="32">
        <v>0.27430555555555558</v>
      </c>
      <c r="U62" s="397"/>
      <c r="V62" s="403">
        <f t="shared" ref="V62:V65" si="42">(T62-S62)*24*60</f>
        <v>95.000000000000028</v>
      </c>
      <c r="W62" s="16"/>
      <c r="X62" s="16"/>
      <c r="Y62" s="20"/>
      <c r="Z62" s="20"/>
      <c r="AA62" s="612"/>
      <c r="AB62" s="612"/>
      <c r="AC62" s="18">
        <v>4</v>
      </c>
      <c r="AD62" s="18"/>
      <c r="AE62" s="14">
        <f t="shared" ref="AE62:AE74" si="43">M62-J62</f>
        <v>-125.05263157894797</v>
      </c>
      <c r="AF62" s="398">
        <f t="shared" si="9"/>
        <v>0.95831578947368401</v>
      </c>
      <c r="AG62" s="616">
        <f>AF66</f>
        <v>0.96270116959064334</v>
      </c>
    </row>
    <row r="63" spans="1:33" ht="15.75" customHeight="1">
      <c r="A63" s="617" t="s">
        <v>626</v>
      </c>
      <c r="B63" s="404" t="s">
        <v>27</v>
      </c>
      <c r="C63" s="660" t="s">
        <v>34</v>
      </c>
      <c r="D63" s="660"/>
      <c r="E63" s="27">
        <v>26.78</v>
      </c>
      <c r="F63" s="30">
        <v>2613</v>
      </c>
      <c r="G63" s="397">
        <f t="shared" si="40"/>
        <v>69976.14</v>
      </c>
      <c r="H63" s="31" t="s">
        <v>40</v>
      </c>
      <c r="I63" s="402">
        <v>10</v>
      </c>
      <c r="J63" s="29">
        <v>3000</v>
      </c>
      <c r="K63" s="12">
        <f t="shared" si="1"/>
        <v>300</v>
      </c>
      <c r="L63" s="402">
        <v>10</v>
      </c>
      <c r="M63" s="13">
        <f t="shared" si="41"/>
        <v>2903.3333333333348</v>
      </c>
      <c r="N63" s="12">
        <f t="shared" si="3"/>
        <v>290.33333333333348</v>
      </c>
      <c r="O63" s="14">
        <f t="shared" si="4"/>
        <v>0</v>
      </c>
      <c r="P63" s="15">
        <f t="shared" si="5"/>
        <v>-9.6666666666665151</v>
      </c>
      <c r="Q63" s="398">
        <f t="shared" si="6"/>
        <v>0.96777777777777829</v>
      </c>
      <c r="R63" s="616"/>
      <c r="S63" s="32">
        <v>0.27777777777777779</v>
      </c>
      <c r="T63" s="32">
        <v>0.31527777777777777</v>
      </c>
      <c r="U63" s="397">
        <f t="shared" ref="U63:U65" si="44">(S63-T62)*24*60</f>
        <v>4.9999999999999822</v>
      </c>
      <c r="V63" s="403">
        <f t="shared" si="42"/>
        <v>53.999999999999972</v>
      </c>
      <c r="W63" s="397"/>
      <c r="X63" s="397"/>
      <c r="Y63" s="397"/>
      <c r="Z63" s="397"/>
      <c r="AA63" s="612"/>
      <c r="AB63" s="612"/>
      <c r="AC63" s="18"/>
      <c r="AD63" s="18"/>
      <c r="AE63" s="14">
        <f t="shared" si="43"/>
        <v>-96.666666666665151</v>
      </c>
      <c r="AF63" s="398">
        <f t="shared" si="9"/>
        <v>0.96777777777777829</v>
      </c>
      <c r="AG63" s="616"/>
    </row>
    <row r="64" spans="1:33" ht="15.75" customHeight="1">
      <c r="A64" s="617" t="s">
        <v>626</v>
      </c>
      <c r="B64" s="404" t="s">
        <v>27</v>
      </c>
      <c r="C64" s="660" t="s">
        <v>36</v>
      </c>
      <c r="D64" s="660"/>
      <c r="E64" s="27">
        <v>34.35</v>
      </c>
      <c r="F64" s="30">
        <v>1212</v>
      </c>
      <c r="G64" s="397">
        <f t="shared" si="40"/>
        <v>41632.200000000004</v>
      </c>
      <c r="H64" s="31" t="s">
        <v>40</v>
      </c>
      <c r="I64" s="402">
        <v>8</v>
      </c>
      <c r="J64" s="29">
        <v>3000</v>
      </c>
      <c r="K64" s="12">
        <f t="shared" si="1"/>
        <v>375</v>
      </c>
      <c r="L64" s="402">
        <v>8</v>
      </c>
      <c r="M64" s="13">
        <f t="shared" si="41"/>
        <v>2908.8000000000006</v>
      </c>
      <c r="N64" s="12">
        <f t="shared" si="3"/>
        <v>363.60000000000008</v>
      </c>
      <c r="O64" s="14">
        <f t="shared" si="4"/>
        <v>0</v>
      </c>
      <c r="P64" s="15">
        <f t="shared" si="5"/>
        <v>-11.39999999999992</v>
      </c>
      <c r="Q64" s="398">
        <f t="shared" si="6"/>
        <v>0.96960000000000024</v>
      </c>
      <c r="R64" s="616"/>
      <c r="S64" s="32">
        <v>0.31874999999999998</v>
      </c>
      <c r="T64" s="32">
        <v>0.33611111111111108</v>
      </c>
      <c r="U64" s="397">
        <f t="shared" si="44"/>
        <v>4.9999999999999822</v>
      </c>
      <c r="V64" s="403">
        <f t="shared" si="42"/>
        <v>24.999999999999993</v>
      </c>
      <c r="W64" s="397"/>
      <c r="X64" s="397"/>
      <c r="Y64" s="397"/>
      <c r="Z64" s="397"/>
      <c r="AA64" s="612"/>
      <c r="AB64" s="612"/>
      <c r="AC64" s="18"/>
      <c r="AD64" s="18"/>
      <c r="AE64" s="14">
        <f t="shared" si="43"/>
        <v>-91.199999999999363</v>
      </c>
      <c r="AF64" s="398">
        <f t="shared" si="9"/>
        <v>0.96960000000000024</v>
      </c>
      <c r="AG64" s="616"/>
    </row>
    <row r="65" spans="1:33" ht="15.75" customHeight="1">
      <c r="A65" s="617" t="s">
        <v>626</v>
      </c>
      <c r="B65" s="404" t="s">
        <v>27</v>
      </c>
      <c r="C65" s="660" t="s">
        <v>737</v>
      </c>
      <c r="D65" s="660"/>
      <c r="E65" s="27">
        <v>36.14</v>
      </c>
      <c r="F65" s="30">
        <v>2149</v>
      </c>
      <c r="G65" s="397">
        <f t="shared" si="40"/>
        <v>77664.86</v>
      </c>
      <c r="H65" s="31" t="s">
        <v>40</v>
      </c>
      <c r="I65" s="402">
        <v>11</v>
      </c>
      <c r="J65" s="29">
        <v>3000</v>
      </c>
      <c r="K65" s="12">
        <f t="shared" si="1"/>
        <v>272.72727272727275</v>
      </c>
      <c r="L65" s="402">
        <v>11</v>
      </c>
      <c r="M65" s="13">
        <f t="shared" si="41"/>
        <v>2865.333333333333</v>
      </c>
      <c r="N65" s="12">
        <f t="shared" si="3"/>
        <v>260.48484848484844</v>
      </c>
      <c r="O65" s="14">
        <f t="shared" si="4"/>
        <v>0</v>
      </c>
      <c r="P65" s="15">
        <f t="shared" si="5"/>
        <v>-12.242424242424306</v>
      </c>
      <c r="Q65" s="398">
        <f t="shared" si="6"/>
        <v>0.95511111111111091</v>
      </c>
      <c r="R65" s="616"/>
      <c r="S65" s="32">
        <v>0.34027777777777773</v>
      </c>
      <c r="T65" s="32">
        <v>0.37152777777777773</v>
      </c>
      <c r="U65" s="397">
        <f t="shared" si="44"/>
        <v>5.9999999999999787</v>
      </c>
      <c r="V65" s="403">
        <f t="shared" si="42"/>
        <v>45</v>
      </c>
      <c r="W65" s="397"/>
      <c r="X65" s="397"/>
      <c r="Y65" s="397"/>
      <c r="Z65" s="397"/>
      <c r="AA65" s="612"/>
      <c r="AB65" s="612"/>
      <c r="AC65" s="18"/>
      <c r="AD65" s="18"/>
      <c r="AE65" s="14">
        <f t="shared" si="43"/>
        <v>-134.66666666666697</v>
      </c>
      <c r="AF65" s="398">
        <f t="shared" si="9"/>
        <v>0.95511111111111102</v>
      </c>
      <c r="AG65" s="616"/>
    </row>
    <row r="66" spans="1:33">
      <c r="A66" s="618" t="s">
        <v>626</v>
      </c>
      <c r="B66" s="27" t="s">
        <v>275</v>
      </c>
      <c r="C66" s="658"/>
      <c r="D66" s="658"/>
      <c r="E66" s="399"/>
      <c r="F66" s="28"/>
      <c r="G66" s="12"/>
      <c r="H66" s="404"/>
      <c r="I66" s="21">
        <v>9.75</v>
      </c>
      <c r="J66" s="29">
        <v>3000</v>
      </c>
      <c r="K66" s="12">
        <f t="shared" si="1"/>
        <v>307.69230769230768</v>
      </c>
      <c r="L66" s="21">
        <v>9.75</v>
      </c>
      <c r="M66" s="13">
        <f>AVERAGE(M62:M65)</f>
        <v>2888.1035087719301</v>
      </c>
      <c r="N66" s="12">
        <f t="shared" si="3"/>
        <v>296.21574448942874</v>
      </c>
      <c r="O66" s="14">
        <f t="shared" si="4"/>
        <v>0</v>
      </c>
      <c r="P66" s="15">
        <f t="shared" si="5"/>
        <v>-11.476563202878935</v>
      </c>
      <c r="Q66" s="398">
        <f t="shared" si="6"/>
        <v>0.96270116959064345</v>
      </c>
      <c r="R66" s="616"/>
      <c r="S66" s="32"/>
      <c r="T66" s="32"/>
      <c r="U66" s="12"/>
      <c r="V66" s="403"/>
      <c r="W66" s="12"/>
      <c r="X66" s="12"/>
      <c r="Y66" s="22">
        <f>SUM(Y62:Y65)</f>
        <v>0</v>
      </c>
      <c r="Z66" s="22">
        <f>SUM(Z62:Z65)</f>
        <v>0</v>
      </c>
      <c r="AA66" s="611"/>
      <c r="AB66" s="611"/>
      <c r="AC66" s="22">
        <v>4</v>
      </c>
      <c r="AD66" s="22">
        <f>SUM(AD62:AD65)</f>
        <v>0</v>
      </c>
      <c r="AE66" s="14">
        <f t="shared" si="43"/>
        <v>-111.89649122806986</v>
      </c>
      <c r="AF66" s="398">
        <f t="shared" si="9"/>
        <v>0.96270116959064334</v>
      </c>
      <c r="AG66" s="616"/>
    </row>
    <row r="67" spans="1:33" ht="15.75" customHeight="1">
      <c r="A67" s="613" t="s">
        <v>82</v>
      </c>
      <c r="B67" s="404" t="s">
        <v>20</v>
      </c>
      <c r="C67" s="660" t="s">
        <v>39</v>
      </c>
      <c r="D67" s="660"/>
      <c r="E67" s="27">
        <v>19.02</v>
      </c>
      <c r="F67" s="404">
        <v>5200</v>
      </c>
      <c r="G67" s="397">
        <f t="shared" ref="G67:G73" si="45">E67*F67</f>
        <v>98904</v>
      </c>
      <c r="H67" s="31">
        <v>2</v>
      </c>
      <c r="I67" s="402">
        <v>14</v>
      </c>
      <c r="J67" s="29">
        <v>2400</v>
      </c>
      <c r="K67" s="12">
        <f t="shared" si="1"/>
        <v>171.42857142857142</v>
      </c>
      <c r="L67" s="402">
        <v>14</v>
      </c>
      <c r="M67" s="13">
        <f t="shared" ref="M67:M73" si="46">F67/V67*60</f>
        <v>2294.1176470588239</v>
      </c>
      <c r="N67" s="12">
        <f t="shared" si="3"/>
        <v>163.86554621848742</v>
      </c>
      <c r="O67" s="14">
        <f t="shared" si="4"/>
        <v>0</v>
      </c>
      <c r="P67" s="15">
        <f t="shared" si="5"/>
        <v>-7.5630252100839925</v>
      </c>
      <c r="Q67" s="398">
        <f t="shared" si="6"/>
        <v>0.95588235294117674</v>
      </c>
      <c r="R67" s="616">
        <f>Q74</f>
        <v>0.95801682443744329</v>
      </c>
      <c r="S67" s="32">
        <v>8.3333333333333329E-2</v>
      </c>
      <c r="T67" s="32">
        <v>0.17777777777777776</v>
      </c>
      <c r="U67" s="20"/>
      <c r="V67" s="403">
        <f t="shared" ref="V67:V73" si="47">(T67-S67)*24*60</f>
        <v>135.99999999999997</v>
      </c>
      <c r="W67" s="16">
        <f>T67</f>
        <v>0.17777777777777776</v>
      </c>
      <c r="X67" s="16">
        <f>S68</f>
        <v>0.19652777777777775</v>
      </c>
      <c r="Y67" s="16"/>
      <c r="Z67" s="16"/>
      <c r="AA67" s="612"/>
      <c r="AB67" s="612"/>
      <c r="AC67" s="18">
        <v>7</v>
      </c>
      <c r="AD67" s="18"/>
      <c r="AE67" s="14">
        <f t="shared" si="43"/>
        <v>-105.88235294117612</v>
      </c>
      <c r="AF67" s="398">
        <f t="shared" si="9"/>
        <v>0.95588235294117663</v>
      </c>
      <c r="AG67" s="616">
        <f>AF74</f>
        <v>0.95801682443744329</v>
      </c>
    </row>
    <row r="68" spans="1:33" ht="15.75" customHeight="1">
      <c r="A68" s="614" t="s">
        <v>82</v>
      </c>
      <c r="B68" s="404" t="s">
        <v>20</v>
      </c>
      <c r="C68" s="660" t="s">
        <v>24</v>
      </c>
      <c r="D68" s="660"/>
      <c r="E68" s="27">
        <v>20.36</v>
      </c>
      <c r="F68" s="404">
        <v>4446</v>
      </c>
      <c r="G68" s="397">
        <f t="shared" si="45"/>
        <v>90520.56</v>
      </c>
      <c r="H68" s="31" t="s">
        <v>40</v>
      </c>
      <c r="I68" s="402">
        <v>17</v>
      </c>
      <c r="J68" s="29">
        <v>2400</v>
      </c>
      <c r="K68" s="12">
        <f t="shared" si="1"/>
        <v>141.1764705882353</v>
      </c>
      <c r="L68" s="402">
        <v>17</v>
      </c>
      <c r="M68" s="13">
        <f t="shared" si="46"/>
        <v>2299.6551724137935</v>
      </c>
      <c r="N68" s="12">
        <f t="shared" si="3"/>
        <v>135.27383367139961</v>
      </c>
      <c r="O68" s="14">
        <f t="shared" si="4"/>
        <v>0</v>
      </c>
      <c r="P68" s="15">
        <f t="shared" si="5"/>
        <v>-5.9026369168356894</v>
      </c>
      <c r="Q68" s="398">
        <f t="shared" si="6"/>
        <v>0.95818965517241383</v>
      </c>
      <c r="R68" s="616"/>
      <c r="S68" s="32">
        <v>0.19652777777777775</v>
      </c>
      <c r="T68" s="32">
        <v>0.27708333333333329</v>
      </c>
      <c r="U68" s="397">
        <f t="shared" ref="U68:U73" si="48">(S68-T67)*24*60</f>
        <v>26.999999999999986</v>
      </c>
      <c r="V68" s="403">
        <f t="shared" si="47"/>
        <v>115.99999999999999</v>
      </c>
      <c r="W68" s="16"/>
      <c r="X68" s="16"/>
      <c r="Y68" s="16"/>
      <c r="Z68" s="16"/>
      <c r="AA68" s="612"/>
      <c r="AB68" s="612"/>
      <c r="AC68" s="18"/>
      <c r="AD68" s="18"/>
      <c r="AE68" s="14">
        <f t="shared" si="43"/>
        <v>-100.34482758620652</v>
      </c>
      <c r="AF68" s="398">
        <f t="shared" si="9"/>
        <v>0.95818965517241395</v>
      </c>
      <c r="AG68" s="616"/>
    </row>
    <row r="69" spans="1:33" ht="15.75" customHeight="1">
      <c r="A69" s="614" t="s">
        <v>82</v>
      </c>
      <c r="B69" s="404" t="s">
        <v>20</v>
      </c>
      <c r="C69" s="660" t="s">
        <v>80</v>
      </c>
      <c r="D69" s="660"/>
      <c r="E69" s="27">
        <v>25.98</v>
      </c>
      <c r="F69" s="404">
        <v>3434</v>
      </c>
      <c r="G69" s="397">
        <f t="shared" si="45"/>
        <v>89215.32</v>
      </c>
      <c r="H69" s="31" t="s">
        <v>40</v>
      </c>
      <c r="I69" s="402">
        <v>17</v>
      </c>
      <c r="J69" s="29">
        <v>2400</v>
      </c>
      <c r="K69" s="12">
        <f t="shared" ref="K69:K74" si="49">J69/I69</f>
        <v>141.1764705882353</v>
      </c>
      <c r="L69" s="402">
        <v>17</v>
      </c>
      <c r="M69" s="13">
        <f t="shared" si="46"/>
        <v>2289.3333333333335</v>
      </c>
      <c r="N69" s="12">
        <f t="shared" ref="N69:N74" si="50">M69/L69</f>
        <v>134.66666666666669</v>
      </c>
      <c r="O69" s="14">
        <f t="shared" ref="O69:O74" si="51">L69-I69</f>
        <v>0</v>
      </c>
      <c r="P69" s="15">
        <f t="shared" ref="P69:P74" si="52">N69-K69</f>
        <v>-6.5098039215686185</v>
      </c>
      <c r="Q69" s="398">
        <f t="shared" ref="Q69:Q74" si="53">N69/K69</f>
        <v>0.95388888888888901</v>
      </c>
      <c r="R69" s="616"/>
      <c r="S69" s="32">
        <v>0.2805555555555555</v>
      </c>
      <c r="T69" s="32">
        <v>0.3430555555555555</v>
      </c>
      <c r="U69" s="397">
        <f t="shared" si="48"/>
        <v>4.9999999999999822</v>
      </c>
      <c r="V69" s="403">
        <f t="shared" si="47"/>
        <v>90</v>
      </c>
      <c r="W69" s="16"/>
      <c r="X69" s="16"/>
      <c r="Y69" s="16"/>
      <c r="Z69" s="16"/>
      <c r="AA69" s="612"/>
      <c r="AB69" s="612"/>
      <c r="AC69" s="18"/>
      <c r="AD69" s="18"/>
      <c r="AE69" s="14">
        <f t="shared" si="43"/>
        <v>-110.66666666666652</v>
      </c>
      <c r="AF69" s="398">
        <f t="shared" ref="AF69:AF74" si="54">M69/J69</f>
        <v>0.9538888888888889</v>
      </c>
      <c r="AG69" s="616"/>
    </row>
    <row r="70" spans="1:33" ht="15.75" customHeight="1">
      <c r="A70" s="614" t="s">
        <v>82</v>
      </c>
      <c r="B70" s="404" t="s">
        <v>20</v>
      </c>
      <c r="C70" s="660" t="s">
        <v>739</v>
      </c>
      <c r="D70" s="660"/>
      <c r="E70" s="27">
        <v>28.29</v>
      </c>
      <c r="F70" s="404">
        <v>5442</v>
      </c>
      <c r="G70" s="397">
        <f t="shared" si="45"/>
        <v>153954.18</v>
      </c>
      <c r="H70" s="31" t="s">
        <v>40</v>
      </c>
      <c r="I70" s="402">
        <v>21</v>
      </c>
      <c r="J70" s="29">
        <v>2400</v>
      </c>
      <c r="K70" s="12">
        <f t="shared" si="49"/>
        <v>114.28571428571429</v>
      </c>
      <c r="L70" s="402">
        <v>21</v>
      </c>
      <c r="M70" s="13">
        <f t="shared" si="46"/>
        <v>2299.4366197183103</v>
      </c>
      <c r="N70" s="12">
        <f t="shared" si="50"/>
        <v>109.49698189134811</v>
      </c>
      <c r="O70" s="14">
        <f t="shared" si="51"/>
        <v>0</v>
      </c>
      <c r="P70" s="15">
        <f t="shared" si="52"/>
        <v>-4.7887323943661784</v>
      </c>
      <c r="Q70" s="398">
        <f t="shared" si="53"/>
        <v>0.95809859154929589</v>
      </c>
      <c r="R70" s="616"/>
      <c r="S70" s="32">
        <v>0.34652777777777771</v>
      </c>
      <c r="T70" s="32">
        <v>0.44513888888888881</v>
      </c>
      <c r="U70" s="397">
        <f t="shared" si="48"/>
        <v>4.9999999999999822</v>
      </c>
      <c r="V70" s="403">
        <f t="shared" si="47"/>
        <v>141.99999999999997</v>
      </c>
      <c r="W70" s="16"/>
      <c r="X70" s="16"/>
      <c r="Y70" s="16"/>
      <c r="Z70" s="16"/>
      <c r="AA70" s="612"/>
      <c r="AB70" s="612"/>
      <c r="AC70" s="18"/>
      <c r="AD70" s="18"/>
      <c r="AE70" s="14">
        <f t="shared" si="43"/>
        <v>-100.56338028168966</v>
      </c>
      <c r="AF70" s="398">
        <f t="shared" si="54"/>
        <v>0.958098591549296</v>
      </c>
      <c r="AG70" s="616"/>
    </row>
    <row r="71" spans="1:33" ht="15.75" customHeight="1">
      <c r="A71" s="614" t="s">
        <v>82</v>
      </c>
      <c r="B71" s="404" t="s">
        <v>20</v>
      </c>
      <c r="C71" s="660" t="s">
        <v>1420</v>
      </c>
      <c r="D71" s="660"/>
      <c r="E71" s="27">
        <v>24.25</v>
      </c>
      <c r="F71" s="404">
        <v>3500</v>
      </c>
      <c r="G71" s="397">
        <f t="shared" si="45"/>
        <v>84875</v>
      </c>
      <c r="H71" s="31">
        <v>2</v>
      </c>
      <c r="I71" s="402">
        <v>17</v>
      </c>
      <c r="J71" s="29">
        <v>2400</v>
      </c>
      <c r="K71" s="12">
        <f t="shared" si="49"/>
        <v>141.1764705882353</v>
      </c>
      <c r="L71" s="402">
        <v>17</v>
      </c>
      <c r="M71" s="13">
        <f t="shared" si="46"/>
        <v>2307.6923076923099</v>
      </c>
      <c r="N71" s="12">
        <f t="shared" si="50"/>
        <v>135.74660633484177</v>
      </c>
      <c r="O71" s="14">
        <f t="shared" si="51"/>
        <v>0</v>
      </c>
      <c r="P71" s="15">
        <f t="shared" si="52"/>
        <v>-5.4298642533935322</v>
      </c>
      <c r="Q71" s="398">
        <f t="shared" si="53"/>
        <v>0.96153846153846245</v>
      </c>
      <c r="R71" s="616"/>
      <c r="S71" s="32">
        <v>0.44861111111111102</v>
      </c>
      <c r="T71" s="32">
        <v>0.5118055555555554</v>
      </c>
      <c r="U71" s="397">
        <f t="shared" si="48"/>
        <v>4.9999999999999822</v>
      </c>
      <c r="V71" s="403">
        <f t="shared" si="47"/>
        <v>90.999999999999915</v>
      </c>
      <c r="W71" s="16">
        <f>T71</f>
        <v>0.5118055555555554</v>
      </c>
      <c r="X71" s="16">
        <f>S72</f>
        <v>0.55347222222222203</v>
      </c>
      <c r="Y71" s="16"/>
      <c r="Z71" s="16"/>
      <c r="AA71" s="612"/>
      <c r="AB71" s="612"/>
      <c r="AC71" s="18"/>
      <c r="AD71" s="18"/>
      <c r="AE71" s="14">
        <f t="shared" si="43"/>
        <v>-92.307692307690104</v>
      </c>
      <c r="AF71" s="398">
        <f t="shared" si="54"/>
        <v>0.96153846153846245</v>
      </c>
      <c r="AG71" s="616"/>
    </row>
    <row r="72" spans="1:33" ht="15.75" customHeight="1">
      <c r="A72" s="614" t="s">
        <v>82</v>
      </c>
      <c r="B72" s="404" t="s">
        <v>20</v>
      </c>
      <c r="C72" s="660" t="s">
        <v>39</v>
      </c>
      <c r="D72" s="660"/>
      <c r="E72" s="27">
        <v>19.02</v>
      </c>
      <c r="F72" s="404">
        <v>4396</v>
      </c>
      <c r="G72" s="397">
        <f t="shared" si="45"/>
        <v>83611.92</v>
      </c>
      <c r="H72" s="31" t="s">
        <v>40</v>
      </c>
      <c r="I72" s="402">
        <v>14</v>
      </c>
      <c r="J72" s="29">
        <v>2400</v>
      </c>
      <c r="K72" s="12">
        <f t="shared" si="49"/>
        <v>171.42857142857142</v>
      </c>
      <c r="L72" s="402">
        <v>14</v>
      </c>
      <c r="M72" s="13">
        <f t="shared" si="46"/>
        <v>2293.5652173913027</v>
      </c>
      <c r="N72" s="12">
        <f t="shared" si="50"/>
        <v>163.82608695652161</v>
      </c>
      <c r="O72" s="14">
        <f t="shared" si="51"/>
        <v>0</v>
      </c>
      <c r="P72" s="15">
        <f t="shared" si="52"/>
        <v>-7.6024844720498095</v>
      </c>
      <c r="Q72" s="398">
        <f t="shared" si="53"/>
        <v>0.9556521739130428</v>
      </c>
      <c r="R72" s="616"/>
      <c r="S72" s="32">
        <v>0.55347222222222203</v>
      </c>
      <c r="T72" s="32">
        <v>0.63333333333333319</v>
      </c>
      <c r="U72" s="397">
        <f t="shared" si="48"/>
        <v>59.999999999999943</v>
      </c>
      <c r="V72" s="403">
        <f t="shared" si="47"/>
        <v>115.00000000000007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-106.43478260869733</v>
      </c>
      <c r="AF72" s="398">
        <f t="shared" si="54"/>
        <v>0.9556521739130428</v>
      </c>
      <c r="AG72" s="616"/>
    </row>
    <row r="73" spans="1:33" ht="15.75" customHeight="1">
      <c r="A73" s="614" t="s">
        <v>82</v>
      </c>
      <c r="B73" s="404" t="s">
        <v>20</v>
      </c>
      <c r="C73" s="605" t="s">
        <v>1420</v>
      </c>
      <c r="D73" s="606"/>
      <c r="E73" s="27">
        <v>24.25</v>
      </c>
      <c r="F73" s="404">
        <v>2619</v>
      </c>
      <c r="G73" s="397">
        <f t="shared" si="45"/>
        <v>63510.75</v>
      </c>
      <c r="H73" s="31" t="s">
        <v>40</v>
      </c>
      <c r="I73" s="402">
        <v>17</v>
      </c>
      <c r="J73" s="29">
        <v>2400</v>
      </c>
      <c r="K73" s="12">
        <f t="shared" si="49"/>
        <v>141.1764705882353</v>
      </c>
      <c r="L73" s="402">
        <v>17</v>
      </c>
      <c r="M73" s="13">
        <f t="shared" si="46"/>
        <v>2310.8823529411734</v>
      </c>
      <c r="N73" s="12">
        <f t="shared" si="50"/>
        <v>135.93425605536314</v>
      </c>
      <c r="O73" s="14">
        <f t="shared" si="51"/>
        <v>0</v>
      </c>
      <c r="P73" s="15">
        <f t="shared" si="52"/>
        <v>-5.2422145328721683</v>
      </c>
      <c r="Q73" s="398">
        <f t="shared" si="53"/>
        <v>0.96286764705882211</v>
      </c>
      <c r="R73" s="616"/>
      <c r="S73" s="32">
        <v>0.6368055555555554</v>
      </c>
      <c r="T73" s="32">
        <v>0.68402777777777768</v>
      </c>
      <c r="U73" s="397">
        <f t="shared" si="48"/>
        <v>4.9999999999999822</v>
      </c>
      <c r="V73" s="403">
        <f t="shared" si="47"/>
        <v>68.000000000000085</v>
      </c>
      <c r="W73" s="16"/>
      <c r="X73" s="16"/>
      <c r="Y73" s="19"/>
      <c r="Z73" s="19"/>
      <c r="AA73" s="607"/>
      <c r="AB73" s="608"/>
      <c r="AC73" s="18"/>
      <c r="AD73" s="18"/>
      <c r="AE73" s="14">
        <f t="shared" si="43"/>
        <v>-89.117647058826606</v>
      </c>
      <c r="AF73" s="398">
        <f t="shared" si="54"/>
        <v>0.96286764705882222</v>
      </c>
      <c r="AG73" s="616"/>
    </row>
    <row r="74" spans="1:33" ht="16.5" customHeight="1">
      <c r="A74" s="615" t="s">
        <v>82</v>
      </c>
      <c r="B74" s="27" t="s">
        <v>275</v>
      </c>
      <c r="C74" s="609"/>
      <c r="D74" s="610"/>
      <c r="E74" s="399"/>
      <c r="F74" s="28"/>
      <c r="G74" s="12"/>
      <c r="H74" s="404"/>
      <c r="I74" s="21">
        <v>16.714285714285715</v>
      </c>
      <c r="J74" s="29">
        <v>2400</v>
      </c>
      <c r="K74" s="12">
        <f t="shared" si="49"/>
        <v>143.58974358974359</v>
      </c>
      <c r="L74" s="21">
        <v>16.714285714285715</v>
      </c>
      <c r="M74" s="13">
        <f>AVERAGE(M67:M73)</f>
        <v>2299.2403786498639</v>
      </c>
      <c r="N74" s="12">
        <f t="shared" si="50"/>
        <v>137.56139017563288</v>
      </c>
      <c r="O74" s="14">
        <f t="shared" si="51"/>
        <v>0</v>
      </c>
      <c r="P74" s="15">
        <f t="shared" si="52"/>
        <v>-6.0283534141107111</v>
      </c>
      <c r="Q74" s="398">
        <f t="shared" si="53"/>
        <v>0.95801682443744329</v>
      </c>
      <c r="R74" s="616"/>
      <c r="S74" s="32"/>
      <c r="T74" s="32"/>
      <c r="U74" s="12"/>
      <c r="V74" s="403"/>
      <c r="W74" s="12"/>
      <c r="X74" s="12"/>
      <c r="Y74" s="22">
        <f>SUM(Y67:Y73)</f>
        <v>0</v>
      </c>
      <c r="Z74" s="22">
        <f>SUM(Z67:Z73)</f>
        <v>0</v>
      </c>
      <c r="AA74" s="611"/>
      <c r="AB74" s="611"/>
      <c r="AC74" s="22">
        <v>7</v>
      </c>
      <c r="AD74" s="22">
        <f>SUM(AD67:AD73)</f>
        <v>0</v>
      </c>
      <c r="AE74" s="14">
        <f t="shared" si="43"/>
        <v>-100.75962135013606</v>
      </c>
      <c r="AF74" s="398">
        <f t="shared" si="54"/>
        <v>0.95801682443744329</v>
      </c>
      <c r="AG74" s="616"/>
    </row>
    <row r="75" spans="1:33">
      <c r="D75" s="23"/>
      <c r="E75" s="23"/>
    </row>
  </sheetData>
  <mergeCells count="195"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G14:AG22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2:D22"/>
    <mergeCell ref="AA22:AB22"/>
    <mergeCell ref="A23:A30"/>
    <mergeCell ref="C23:D23"/>
    <mergeCell ref="R23:R30"/>
    <mergeCell ref="AA23:AB23"/>
    <mergeCell ref="AA28:AB28"/>
    <mergeCell ref="A14:A22"/>
    <mergeCell ref="C14:D14"/>
    <mergeCell ref="R14:R22"/>
    <mergeCell ref="AA14:AB14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A47:AB47"/>
    <mergeCell ref="A31:A38"/>
    <mergeCell ref="C31:D31"/>
    <mergeCell ref="R31:R38"/>
    <mergeCell ref="AA31:AB31"/>
    <mergeCell ref="AA36:AB36"/>
    <mergeCell ref="C37:D37"/>
    <mergeCell ref="AG31:AG38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8:D38"/>
    <mergeCell ref="AA38:AB38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G53:AG61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1:D61"/>
    <mergeCell ref="AA61:AB61"/>
    <mergeCell ref="A62:A66"/>
    <mergeCell ref="C62:D62"/>
    <mergeCell ref="R62:R66"/>
    <mergeCell ref="AA62:AB62"/>
    <mergeCell ref="AA57:AB57"/>
    <mergeCell ref="C58:D58"/>
    <mergeCell ref="AA58:AB58"/>
    <mergeCell ref="C59:D59"/>
    <mergeCell ref="AA59:AB59"/>
    <mergeCell ref="C60:D60"/>
    <mergeCell ref="AA60:AB60"/>
    <mergeCell ref="A53:A61"/>
    <mergeCell ref="C53:D53"/>
    <mergeCell ref="R53:R61"/>
    <mergeCell ref="AA53:AB5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4"/>
    <mergeCell ref="C67:D67"/>
    <mergeCell ref="R67:R74"/>
    <mergeCell ref="AA67:AB67"/>
    <mergeCell ref="AG67:AG74"/>
    <mergeCell ref="C68:D68"/>
    <mergeCell ref="AA68:AB68"/>
    <mergeCell ref="C69:D69"/>
    <mergeCell ref="AA69:AB69"/>
    <mergeCell ref="C70:D70"/>
    <mergeCell ref="C74:D74"/>
    <mergeCell ref="AA74:AB74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4 O5:O8 O13:O15 O22:O58">
    <cfRule type="cellIs" dxfId="1509" priority="63" operator="greaterThan">
      <formula>0</formula>
    </cfRule>
  </conditionalFormatting>
  <conditionalFormatting sqref="P5:P6 P65 AE65 P67:P72 P31:P37 P62 P8 P13:P15 P23:P29 P53:P58 P39:P51 AE5:AE62 AE67:AE74">
    <cfRule type="cellIs" dxfId="1508" priority="67" operator="lessThan">
      <formula>0</formula>
    </cfRule>
  </conditionalFormatting>
  <conditionalFormatting sqref="AF65 Q65:Q72 Q61:Q62 Q74 Q5:Q8 Q13:Q15 Q22:Q58 AF5:AF62 AF67:AF74">
    <cfRule type="cellIs" dxfId="1507" priority="64" operator="greaterThan">
      <formula>1</formula>
    </cfRule>
    <cfRule type="cellIs" dxfId="1506" priority="65" operator="lessThan">
      <formula>0.8</formula>
    </cfRule>
  </conditionalFormatting>
  <conditionalFormatting sqref="AG14:AG15 R14:R15 AG65 R65:R72 R22:R28 AG22:AG28 AG61:AG62 R61:R62 R74 AG5:AG8 R5:R8 AG30:AG58 R30:R58">
    <cfRule type="cellIs" dxfId="1505" priority="69" operator="lessThan">
      <formula>0.8</formula>
    </cfRule>
  </conditionalFormatting>
  <conditionalFormatting sqref="AG48">
    <cfRule type="cellIs" dxfId="1504" priority="71" operator="lessThan">
      <formula>0.8</formula>
    </cfRule>
  </conditionalFormatting>
  <conditionalFormatting sqref="AG23:AG28">
    <cfRule type="cellIs" dxfId="1503" priority="68" operator="lessThan">
      <formula>0.8</formula>
    </cfRule>
  </conditionalFormatting>
  <conditionalFormatting sqref="AG31">
    <cfRule type="cellIs" dxfId="1502" priority="70" operator="lessThan">
      <formula>0.8</formula>
    </cfRule>
  </conditionalFormatting>
  <conditionalFormatting sqref="AG39:AG46">
    <cfRule type="cellIs" dxfId="1501" priority="66" operator="lessThan">
      <formula>0.8</formula>
    </cfRule>
  </conditionalFormatting>
  <conditionalFormatting sqref="AE66">
    <cfRule type="cellIs" dxfId="1500" priority="62" operator="lessThan">
      <formula>0</formula>
    </cfRule>
  </conditionalFormatting>
  <conditionalFormatting sqref="AF66">
    <cfRule type="cellIs" dxfId="1499" priority="60" operator="greaterThan">
      <formula>1</formula>
    </cfRule>
    <cfRule type="cellIs" dxfId="1498" priority="61" operator="lessThan">
      <formula>0.8</formula>
    </cfRule>
  </conditionalFormatting>
  <conditionalFormatting sqref="O16:O17">
    <cfRule type="cellIs" dxfId="1497" priority="55" operator="greaterThan">
      <formula>0</formula>
    </cfRule>
  </conditionalFormatting>
  <conditionalFormatting sqref="P16:P17">
    <cfRule type="cellIs" dxfId="1496" priority="58" operator="lessThan">
      <formula>0</formula>
    </cfRule>
  </conditionalFormatting>
  <conditionalFormatting sqref="Q16:Q17">
    <cfRule type="cellIs" dxfId="1495" priority="56" operator="greaterThan">
      <formula>1</formula>
    </cfRule>
    <cfRule type="cellIs" dxfId="1494" priority="57" operator="lessThan">
      <formula>0.8</formula>
    </cfRule>
  </conditionalFormatting>
  <conditionalFormatting sqref="R16:R17 AG16:AG17">
    <cfRule type="cellIs" dxfId="1493" priority="59" operator="lessThan">
      <formula>0.8</formula>
    </cfRule>
  </conditionalFormatting>
  <conditionalFormatting sqref="O9:O12">
    <cfRule type="cellIs" dxfId="1492" priority="51" operator="greaterThan">
      <formula>0</formula>
    </cfRule>
  </conditionalFormatting>
  <conditionalFormatting sqref="P9:P12">
    <cfRule type="cellIs" dxfId="1491" priority="54" operator="lessThan">
      <formula>0</formula>
    </cfRule>
  </conditionalFormatting>
  <conditionalFormatting sqref="Q9:Q12">
    <cfRule type="cellIs" dxfId="1490" priority="52" operator="greaterThan">
      <formula>1</formula>
    </cfRule>
    <cfRule type="cellIs" dxfId="1489" priority="53" operator="lessThan">
      <formula>0.8</formula>
    </cfRule>
  </conditionalFormatting>
  <conditionalFormatting sqref="O59">
    <cfRule type="cellIs" dxfId="1488" priority="46" operator="greaterThan">
      <formula>0</formula>
    </cfRule>
  </conditionalFormatting>
  <conditionalFormatting sqref="P59">
    <cfRule type="cellIs" dxfId="1487" priority="49" operator="lessThan">
      <formula>0</formula>
    </cfRule>
  </conditionalFormatting>
  <conditionalFormatting sqref="Q59">
    <cfRule type="cellIs" dxfId="1486" priority="47" operator="greaterThan">
      <formula>1</formula>
    </cfRule>
    <cfRule type="cellIs" dxfId="1485" priority="48" operator="lessThan">
      <formula>0.8</formula>
    </cfRule>
  </conditionalFormatting>
  <conditionalFormatting sqref="R59 AG59">
    <cfRule type="cellIs" dxfId="1484" priority="50" operator="lessThan">
      <formula>0.8</formula>
    </cfRule>
  </conditionalFormatting>
  <conditionalFormatting sqref="O64">
    <cfRule type="cellIs" dxfId="1483" priority="41" operator="greaterThan">
      <formula>0</formula>
    </cfRule>
  </conditionalFormatting>
  <conditionalFormatting sqref="P64 AE64">
    <cfRule type="cellIs" dxfId="1482" priority="44" operator="lessThan">
      <formula>0</formula>
    </cfRule>
  </conditionalFormatting>
  <conditionalFormatting sqref="Q64 AF64">
    <cfRule type="cellIs" dxfId="1481" priority="42" operator="greaterThan">
      <formula>1</formula>
    </cfRule>
    <cfRule type="cellIs" dxfId="1480" priority="43" operator="lessThan">
      <formula>0.8</formula>
    </cfRule>
  </conditionalFormatting>
  <conditionalFormatting sqref="R64 AG64">
    <cfRule type="cellIs" dxfId="1479" priority="45" operator="lessThan">
      <formula>0.8</formula>
    </cfRule>
  </conditionalFormatting>
  <conditionalFormatting sqref="O73">
    <cfRule type="cellIs" dxfId="1478" priority="36" operator="greaterThan">
      <formula>0</formula>
    </cfRule>
  </conditionalFormatting>
  <conditionalFormatting sqref="P73">
    <cfRule type="cellIs" dxfId="1477" priority="39" operator="lessThan">
      <formula>0</formula>
    </cfRule>
  </conditionalFormatting>
  <conditionalFormatting sqref="Q73">
    <cfRule type="cellIs" dxfId="1476" priority="37" operator="greaterThan">
      <formula>1</formula>
    </cfRule>
    <cfRule type="cellIs" dxfId="1475" priority="38" operator="lessThan">
      <formula>0.8</formula>
    </cfRule>
  </conditionalFormatting>
  <conditionalFormatting sqref="R73">
    <cfRule type="cellIs" dxfId="1474" priority="40" operator="lessThan">
      <formula>0.8</formula>
    </cfRule>
  </conditionalFormatting>
  <conditionalFormatting sqref="O18:O19">
    <cfRule type="cellIs" dxfId="1473" priority="31" operator="greaterThan">
      <formula>0</formula>
    </cfRule>
  </conditionalFormatting>
  <conditionalFormatting sqref="P18:P19">
    <cfRule type="cellIs" dxfId="1472" priority="34" operator="lessThan">
      <formula>0</formula>
    </cfRule>
  </conditionalFormatting>
  <conditionalFormatting sqref="Q18:Q19">
    <cfRule type="cellIs" dxfId="1471" priority="32" operator="greaterThan">
      <formula>1</formula>
    </cfRule>
    <cfRule type="cellIs" dxfId="1470" priority="33" operator="lessThan">
      <formula>0.8</formula>
    </cfRule>
  </conditionalFormatting>
  <conditionalFormatting sqref="R18:R19 AG18:AG19">
    <cfRule type="cellIs" dxfId="1469" priority="35" operator="lessThan">
      <formula>0.8</formula>
    </cfRule>
  </conditionalFormatting>
  <conditionalFormatting sqref="O60">
    <cfRule type="cellIs" dxfId="1468" priority="26" operator="greaterThan">
      <formula>0</formula>
    </cfRule>
  </conditionalFormatting>
  <conditionalFormatting sqref="P60">
    <cfRule type="cellIs" dxfId="1467" priority="29" operator="lessThan">
      <formula>0</formula>
    </cfRule>
  </conditionalFormatting>
  <conditionalFormatting sqref="Q60">
    <cfRule type="cellIs" dxfId="1466" priority="27" operator="greaterThan">
      <formula>1</formula>
    </cfRule>
    <cfRule type="cellIs" dxfId="1465" priority="28" operator="lessThan">
      <formula>0.8</formula>
    </cfRule>
  </conditionalFormatting>
  <conditionalFormatting sqref="AG60 R60">
    <cfRule type="cellIs" dxfId="1464" priority="30" operator="lessThan">
      <formula>0.8</formula>
    </cfRule>
  </conditionalFormatting>
  <conditionalFormatting sqref="R29 AG29">
    <cfRule type="cellIs" dxfId="1463" priority="25" operator="lessThan">
      <formula>0.8</formula>
    </cfRule>
  </conditionalFormatting>
  <conditionalFormatting sqref="AG29">
    <cfRule type="cellIs" dxfId="1462" priority="24" operator="lessThan">
      <formula>0.8</formula>
    </cfRule>
  </conditionalFormatting>
  <conditionalFormatting sqref="O63">
    <cfRule type="cellIs" dxfId="1461" priority="19" operator="greaterThan">
      <formula>0</formula>
    </cfRule>
  </conditionalFormatting>
  <conditionalFormatting sqref="P63 AE63">
    <cfRule type="cellIs" dxfId="1460" priority="22" operator="lessThan">
      <formula>0</formula>
    </cfRule>
  </conditionalFormatting>
  <conditionalFormatting sqref="Q63 AF63">
    <cfRule type="cellIs" dxfId="1459" priority="20" operator="greaterThan">
      <formula>1</formula>
    </cfRule>
    <cfRule type="cellIs" dxfId="1458" priority="21" operator="lessThan">
      <formula>0.8</formula>
    </cfRule>
  </conditionalFormatting>
  <conditionalFormatting sqref="R63 AG63">
    <cfRule type="cellIs" dxfId="1457" priority="23" operator="lessThan">
      <formula>0.8</formula>
    </cfRule>
  </conditionalFormatting>
  <conditionalFormatting sqref="O20">
    <cfRule type="cellIs" dxfId="1456" priority="14" operator="greaterThan">
      <formula>0</formula>
    </cfRule>
  </conditionalFormatting>
  <conditionalFormatting sqref="P20">
    <cfRule type="cellIs" dxfId="1455" priority="17" operator="lessThan">
      <formula>0</formula>
    </cfRule>
  </conditionalFormatting>
  <conditionalFormatting sqref="Q20">
    <cfRule type="cellIs" dxfId="1454" priority="15" operator="greaterThan">
      <formula>1</formula>
    </cfRule>
    <cfRule type="cellIs" dxfId="1453" priority="16" operator="lessThan">
      <formula>0.8</formula>
    </cfRule>
  </conditionalFormatting>
  <conditionalFormatting sqref="AG20 R20">
    <cfRule type="cellIs" dxfId="1452" priority="18" operator="lessThan">
      <formula>0.8</formula>
    </cfRule>
  </conditionalFormatting>
  <conditionalFormatting sqref="O21">
    <cfRule type="cellIs" dxfId="1451" priority="9" operator="greaterThan">
      <formula>0</formula>
    </cfRule>
  </conditionalFormatting>
  <conditionalFormatting sqref="P21">
    <cfRule type="cellIs" dxfId="1450" priority="12" operator="lessThan">
      <formula>0</formula>
    </cfRule>
  </conditionalFormatting>
  <conditionalFormatting sqref="Q21">
    <cfRule type="cellIs" dxfId="1449" priority="10" operator="greaterThan">
      <formula>1</formula>
    </cfRule>
    <cfRule type="cellIs" dxfId="1448" priority="11" operator="lessThan">
      <formula>0.8</formula>
    </cfRule>
  </conditionalFormatting>
  <conditionalFormatting sqref="AG21 R21">
    <cfRule type="cellIs" dxfId="1447" priority="13" operator="lessThan">
      <formula>0.8</formula>
    </cfRule>
  </conditionalFormatting>
  <conditionalFormatting sqref="P7">
    <cfRule type="cellIs" dxfId="1446" priority="8" operator="lessThan">
      <formula>0</formula>
    </cfRule>
  </conditionalFormatting>
  <conditionalFormatting sqref="P22">
    <cfRule type="cellIs" dxfId="1445" priority="7" operator="lessThan">
      <formula>0</formula>
    </cfRule>
  </conditionalFormatting>
  <conditionalFormatting sqref="P30">
    <cfRule type="cellIs" dxfId="1444" priority="6" operator="lessThan">
      <formula>0</formula>
    </cfRule>
  </conditionalFormatting>
  <conditionalFormatting sqref="P38">
    <cfRule type="cellIs" dxfId="1443" priority="5" operator="lessThan">
      <formula>0</formula>
    </cfRule>
  </conditionalFormatting>
  <conditionalFormatting sqref="P52">
    <cfRule type="cellIs" dxfId="1442" priority="4" operator="lessThan">
      <formula>0</formula>
    </cfRule>
  </conditionalFormatting>
  <conditionalFormatting sqref="P61">
    <cfRule type="cellIs" dxfId="1441" priority="3" operator="lessThan">
      <formula>0</formula>
    </cfRule>
  </conditionalFormatting>
  <conditionalFormatting sqref="P66">
    <cfRule type="cellIs" dxfId="1440" priority="2" operator="lessThan">
      <formula>0</formula>
    </cfRule>
  </conditionalFormatting>
  <conditionalFormatting sqref="P74">
    <cfRule type="cellIs" dxfId="1439" priority="1" operator="lessThan">
      <formula>0</formula>
    </cfRule>
  </conditionalFormatting>
  <dataValidations count="1">
    <dataValidation type="list" allowBlank="1" showInputMessage="1" showErrorMessage="1" sqref="AB7 AA5:AB6 AA7:AA65 AB9:AB62 AA66:AB7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7" sqref="A7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84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85</v>
      </c>
      <c r="C3" s="594" t="str">
        <f>TEXT('0721 4度C'!A2,"yyyy.mm.ddaaaa")</f>
        <v>2026.07.21星期二</v>
      </c>
      <c r="D3" s="595"/>
      <c r="E3" s="36" t="s">
        <v>1962</v>
      </c>
      <c r="F3" s="596">
        <f>'0721 4度C'!D1</f>
        <v>186942</v>
      </c>
      <c r="G3" s="597"/>
      <c r="H3" s="36" t="s">
        <v>87</v>
      </c>
      <c r="I3" s="598">
        <f>'0721 4度C'!F1</f>
        <v>6512120.6299999999</v>
      </c>
      <c r="J3" s="599"/>
      <c r="K3" s="37"/>
      <c r="L3" s="38"/>
      <c r="M3" s="39"/>
      <c r="N3" s="39"/>
    </row>
    <row r="4" spans="2:17" ht="28.5" customHeight="1">
      <c r="B4" s="600" t="s">
        <v>88</v>
      </c>
      <c r="C4" s="586" t="s">
        <v>89</v>
      </c>
      <c r="D4" s="587"/>
      <c r="E4" s="603" t="s">
        <v>90</v>
      </c>
      <c r="F4" s="604"/>
      <c r="G4" s="603" t="s">
        <v>91</v>
      </c>
      <c r="H4" s="604"/>
      <c r="I4" s="603" t="s">
        <v>92</v>
      </c>
      <c r="J4" s="604"/>
      <c r="K4" s="584" t="s">
        <v>93</v>
      </c>
      <c r="L4" s="585"/>
      <c r="M4" s="585" t="s">
        <v>1961</v>
      </c>
      <c r="N4" s="585"/>
    </row>
    <row r="5" spans="2:17" ht="28.5" customHeight="1">
      <c r="B5" s="601"/>
      <c r="C5" s="586" t="s">
        <v>95</v>
      </c>
      <c r="D5" s="587"/>
      <c r="E5" s="586" t="s">
        <v>96</v>
      </c>
      <c r="F5" s="587"/>
      <c r="G5" s="588" t="s">
        <v>1960</v>
      </c>
      <c r="H5" s="589"/>
      <c r="I5" s="590" t="s">
        <v>1959</v>
      </c>
      <c r="J5" s="591"/>
      <c r="K5" s="40" t="s">
        <v>1957</v>
      </c>
      <c r="L5" s="41" t="s">
        <v>1958</v>
      </c>
      <c r="M5" s="40" t="s">
        <v>1957</v>
      </c>
      <c r="N5" s="41" t="s">
        <v>1956</v>
      </c>
    </row>
    <row r="6" spans="2:17" ht="28.5" customHeight="1">
      <c r="B6" s="601"/>
      <c r="C6" s="586" t="s">
        <v>41</v>
      </c>
      <c r="D6" s="587"/>
      <c r="E6" s="578">
        <f>AVERAGE(D13:M13)</f>
        <v>156.97951857417513</v>
      </c>
      <c r="F6" s="579">
        <f>AVERAGE(D31:O31,D13:J13)</f>
        <v>166.11231977213356</v>
      </c>
      <c r="G6" s="580">
        <f>AVERAGE(D13:J13)</f>
        <v>166.11231977213356</v>
      </c>
      <c r="H6" s="581"/>
      <c r="I6" s="580">
        <f>AVERAGE(K13:M13)</f>
        <v>135.66964911227208</v>
      </c>
      <c r="J6" s="581"/>
      <c r="K6" s="582">
        <f>'0721 4度C'!Y2</f>
        <v>0</v>
      </c>
      <c r="L6" s="567">
        <f>'0721 4度C'!Z2</f>
        <v>0</v>
      </c>
      <c r="M6" s="583">
        <f>'0721 4度C'!AC2</f>
        <v>60</v>
      </c>
      <c r="N6" s="567">
        <f>'0721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150.57058823691972</v>
      </c>
      <c r="F7" s="571">
        <f>AVERAGE(D32:O32,D14:J14)</f>
        <v>159.56277473188462</v>
      </c>
      <c r="G7" s="572">
        <f>AVERAGE(D14:J14)</f>
        <v>159.56277473188462</v>
      </c>
      <c r="H7" s="573"/>
      <c r="I7" s="572">
        <f>AVERAGE(K14:M14)</f>
        <v>129.58881974866839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0.95850998118098274</v>
      </c>
      <c r="F8" s="575">
        <f>AVERAGE(D15:J15,D33:O33)</f>
        <v>0.95991747028903951</v>
      </c>
      <c r="G8" s="576">
        <f>AVERAGE(D15:J15)</f>
        <v>0.95991747028903951</v>
      </c>
      <c r="H8" s="577"/>
      <c r="I8" s="576">
        <f>AVERAGE(K15:M15)</f>
        <v>0.95522583992885046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1955</v>
      </c>
      <c r="N9" s="39"/>
      <c r="O9" s="39"/>
      <c r="P9" s="39"/>
      <c r="Q9" s="39"/>
    </row>
    <row r="10" spans="2:17" ht="30" customHeight="1">
      <c r="B10" s="550" t="s">
        <v>1954</v>
      </c>
      <c r="C10" s="551"/>
      <c r="D10" s="552" t="s">
        <v>1953</v>
      </c>
      <c r="E10" s="553"/>
      <c r="F10" s="553"/>
      <c r="G10" s="553"/>
      <c r="H10" s="553"/>
      <c r="I10" s="553"/>
      <c r="J10" s="554"/>
      <c r="K10" s="555" t="s">
        <v>105</v>
      </c>
      <c r="L10" s="556"/>
      <c r="M10" s="557"/>
      <c r="P10" s="45"/>
      <c r="Q10" s="45"/>
    </row>
    <row r="11" spans="2:17" ht="17.25" customHeight="1">
      <c r="B11" s="558" t="s">
        <v>1952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107</v>
      </c>
      <c r="C13" s="52" t="s">
        <v>215</v>
      </c>
      <c r="D13" s="53">
        <f>SUMIFS('0721 4度C'!$K:$K,'0721 4度C'!$A:$A,"新豐6線",'0721 4度C'!$B:$B,"平均")</f>
        <v>129.03225806451613</v>
      </c>
      <c r="E13" s="54">
        <f>SUMIFS('0721 4度C'!$K:$K,'0721 4度C'!$A:$A,"新豐2線",'0721 4度C'!$B:$B,"平均")</f>
        <v>86.206896551724142</v>
      </c>
      <c r="F13" s="55">
        <f>SUMIFS('0721 4度C'!$K:$K,'0721 4度C'!$A:$A,"新豐5線",'0721 4度C'!$B:$B,"平均")</f>
        <v>90.604026845637577</v>
      </c>
      <c r="G13" s="55">
        <f>SUMIFS('0721 4度C'!$K:$K,'0721 4度C'!$A:$A,"新豐7線",'0721 4度C'!$B:$B,"平均")</f>
        <v>127.27272727272728</v>
      </c>
      <c r="H13" s="55">
        <f>SUMIFS('0721 4度C'!$K:$K,'0721 4度C'!$A:$A,"新豐3線",'0721 4度C'!$B:$B,"平均")</f>
        <v>307.69230769230768</v>
      </c>
      <c r="I13" s="55">
        <f>SUMIFS('0721 4度C'!$K:$K,'0721 4度C'!$A:$A,"新豐1線",'0721 4度C'!$B:$B,"平均")</f>
        <v>114.28571428571429</v>
      </c>
      <c r="J13" s="56">
        <f>SUMIFS('0721 4度C'!$K:$K,'0721 4度C'!$A:$A,"新豐10線",'0721 4度C'!$B:$B,"平均")</f>
        <v>307.69230769230768</v>
      </c>
      <c r="K13" s="57">
        <f>SUMIFS('0721 4度C'!$K:$K,'0721 4度C'!$A:$A,"新豐8線",'0721 4度C'!$B:$B,"平均")</f>
        <v>137.70491803278691</v>
      </c>
      <c r="L13" s="58">
        <f>SUMIFS('0721 4度C'!$K:$K,'0721 4度C'!$A:$A,"新豐9線",'0721 4度C'!$B:$B,"平均")</f>
        <v>125.71428571428571</v>
      </c>
      <c r="M13" s="56">
        <f>SUMIFS('0721 4度C'!$K:$K,'0721 4度C'!$A:$A,"新豐4線",'0721 4度C'!$B:$B,"平均")</f>
        <v>143.58974358974359</v>
      </c>
    </row>
    <row r="14" spans="2:17" ht="39.6" customHeight="1">
      <c r="B14" s="563"/>
      <c r="C14" s="59" t="s">
        <v>312</v>
      </c>
      <c r="D14" s="60">
        <f>SUMIFS('0721 4度C'!$N:$N,'0721 4度C'!$A:$A,"新豐6線",'0721 4度C'!$B:$B,"平均")</f>
        <v>124.11218189162669</v>
      </c>
      <c r="E14" s="61">
        <f>SUMIFS('0721 4度C'!$N:$N,'0721 4度C'!$A:$A,"新豐2線",'0721 4度C'!$B:$B,"平均")</f>
        <v>82.493123514234469</v>
      </c>
      <c r="F14" s="61">
        <f>SUMIFS('0721 4度C'!$N:$N,'0721 4度C'!$A:$A,"新豐5線",'0721 4度C'!$B:$B,"平均")</f>
        <v>86.812196669890596</v>
      </c>
      <c r="G14" s="61">
        <f>SUMIFS('0721 4度C'!$N:$N,'0721 4度C'!$A:$A,"新豐7線",'0721 4度C'!$B:$B,"平均")</f>
        <v>121.90285552133955</v>
      </c>
      <c r="H14" s="61">
        <f>SUMIFS('0721 4度C'!$N:$N,'0721 4度C'!$A:$A,"新豐3線",'0721 4度C'!$B:$B,"平均")</f>
        <v>293.88458831808578</v>
      </c>
      <c r="I14" s="61">
        <f>SUMIFS('0721 4度C'!$N:$N,'0721 4度C'!$A:$A,"新豐1線",'0721 4度C'!$B:$B,"平均")</f>
        <v>109.89329203659727</v>
      </c>
      <c r="J14" s="62">
        <f>SUMIFS('0721 4度C'!$N:$N,'0721 4度C'!$A:$A,"新豐10線",'0721 4度C'!$B:$B,"平均")</f>
        <v>297.84118517141781</v>
      </c>
      <c r="K14" s="63">
        <f>SUMIFS('0721 4度C'!$N:$N,'0721 4度C'!$A:$A,"新豐8線",'0721 4度C'!$B:$B,"平均")</f>
        <v>131.38218681560215</v>
      </c>
      <c r="L14" s="64">
        <f>SUMIFS('0721 4度C'!$N:$N,'0721 4度C'!$A:$A,"新豐9線",'0721 4度C'!$B:$B,"平均")</f>
        <v>120.26640618627316</v>
      </c>
      <c r="M14" s="62">
        <f>SUMIFS('0721 4度C'!$N:$N,'0721 4度C'!$A:$A,"新豐4線",'0721 4度C'!$B:$B,"平均")</f>
        <v>137.11786624412983</v>
      </c>
    </row>
    <row r="15" spans="2:17" ht="40.15" customHeight="1">
      <c r="B15" s="564"/>
      <c r="C15" s="65" t="s">
        <v>110</v>
      </c>
      <c r="D15" s="66">
        <f t="shared" ref="D15:M15" si="0">D14/D13</f>
        <v>0.96186940966010681</v>
      </c>
      <c r="E15" s="67">
        <f t="shared" si="0"/>
        <v>0.95692023276511984</v>
      </c>
      <c r="F15" s="67">
        <f t="shared" si="0"/>
        <v>0.95814942991212593</v>
      </c>
      <c r="G15" s="67">
        <f t="shared" si="0"/>
        <v>0.95780815052481061</v>
      </c>
      <c r="H15" s="67">
        <f t="shared" si="0"/>
        <v>0.95512491203377881</v>
      </c>
      <c r="I15" s="67">
        <f t="shared" si="0"/>
        <v>0.96156630532022613</v>
      </c>
      <c r="J15" s="68">
        <f t="shared" si="0"/>
        <v>0.96798385180710789</v>
      </c>
      <c r="K15" s="66">
        <f t="shared" si="0"/>
        <v>0.95408492806568213</v>
      </c>
      <c r="L15" s="67">
        <f t="shared" si="0"/>
        <v>0.95666459466353648</v>
      </c>
      <c r="M15" s="68">
        <f t="shared" si="0"/>
        <v>0.95492799705733278</v>
      </c>
    </row>
    <row r="16" spans="2:17" ht="17.25" customHeight="1">
      <c r="B16" s="565" t="s">
        <v>218</v>
      </c>
      <c r="C16" s="69" t="s">
        <v>112</v>
      </c>
      <c r="D16" s="70">
        <f>VLOOKUP("新豐6線",'0721 4度C'!$A:$T,19,0)</f>
        <v>0.70833333333333337</v>
      </c>
      <c r="E16" s="71">
        <f>VLOOKUP("新豐2線",'0721 4度C'!$A:$T,19,0)</f>
        <v>8.3333333333333329E-2</v>
      </c>
      <c r="F16" s="71">
        <f>VLOOKUP("新豐5線",'0721 4度C'!$A:$T,19,0)</f>
        <v>8.3333333333333329E-2</v>
      </c>
      <c r="G16" s="71">
        <f>VLOOKUP("新豐7線",'0721 4度C'!$A:$T,19,0)</f>
        <v>0.20833333333333334</v>
      </c>
      <c r="H16" s="71">
        <f>VLOOKUP("新豐3線",'0721 4度C'!$A:$T,19,0)</f>
        <v>0.20833333333333334</v>
      </c>
      <c r="I16" s="71">
        <f>VLOOKUP("新豐1線",'0721 4度C'!$A:$T,19,0)</f>
        <v>0.20833333333333334</v>
      </c>
      <c r="J16" s="72">
        <f>VLOOKUP("新豐10線",'0721 4度C'!$A:$T,19,0)</f>
        <v>0.20833333333333334</v>
      </c>
      <c r="K16" s="73">
        <f>VLOOKUP("新豐8線",'0721 4度C'!$A:$T,19,0)</f>
        <v>8.3333333333333329E-2</v>
      </c>
      <c r="L16" s="74">
        <f>VLOOKUP("新豐9線",'0721 4度C'!$A:$T,19,0)</f>
        <v>8.3333333333333329E-2</v>
      </c>
      <c r="M16" s="75">
        <f>VLOOKUP("新豐4線",'0721 4度C'!$A:$T,19,0)</f>
        <v>8.3333333333333329E-2</v>
      </c>
    </row>
    <row r="17" spans="2:13" ht="17.25" customHeight="1">
      <c r="B17" s="566"/>
      <c r="C17" s="69" t="s">
        <v>1951</v>
      </c>
      <c r="D17" s="73">
        <f>LOOKUP(2,1/(('0721 4度C'!$A:$A="新豐6線")*('0721 4度C'!$T:$T&lt;&gt;"")),'0721 4度C'!$T:$T)</f>
        <v>0.82638888888888895</v>
      </c>
      <c r="E17" s="71">
        <f>LOOKUP(2,1/(('0721 4度C'!$A:$A="新豐2線")*('0721 4度C'!$T:$T&lt;&gt;"")),'0721 4度C'!$T:$T)</f>
        <v>0.64513888888888882</v>
      </c>
      <c r="F17" s="71">
        <f>LOOKUP(2,1/(('0721 4度C'!$A:$A="新豐5線")*('0721 4度C'!$T:$T&lt;&gt;"")),'0721 4度C'!$T:$T)</f>
        <v>0.91180555555555542</v>
      </c>
      <c r="G17" s="71">
        <f>LOOKUP(2,1/(('0721 4度C'!$A:$A="新豐7線")*('0721 4度C'!$T:$T&lt;&gt;"")),'0721 4度C'!$T:$T)</f>
        <v>0.96249999999999991</v>
      </c>
      <c r="H17" s="71">
        <f>LOOKUP(2,1/(('0721 4度C'!$A:$A="新豐3線")*('0721 4度C'!$T:$T&lt;&gt;"")),'0721 4度C'!$T:$T)</f>
        <v>0.46597222222222223</v>
      </c>
      <c r="I17" s="71">
        <f>LOOKUP(2,1/(('0721 4度C'!$A:$A="新豐1線")*('0721 4度C'!$T:$T&lt;&gt;"")),'0721 4度C'!$T:$T)</f>
        <v>0.85763888888888884</v>
      </c>
      <c r="J17" s="72">
        <f>LOOKUP(2,1/(('0721 4度C'!$A:$A="新豐10線")*('0721 4度C'!$T:$T&lt;&gt;"")),'0721 4度C'!$T:$T)</f>
        <v>0.38263888888888881</v>
      </c>
      <c r="K17" s="70">
        <f>LOOKUP(2,1/(('0721 4度C'!$A:$A="新豐8線")*('0721 4度C'!$T:$T&lt;&gt;"")),'0721 4度C'!$T:$T)</f>
        <v>0.70902777777777759</v>
      </c>
      <c r="L17" s="71">
        <f>LOOKUP(2,1/(('0721 4度C'!$A:$A="新豐9線")*('0721 4度C'!$T:$T&lt;&gt;"")),'0721 4度C'!$T:$T)</f>
        <v>0.72222222222222221</v>
      </c>
      <c r="M17" s="72">
        <f>LOOKUP(2,1/(('0721 4度C'!$A:$A="新豐4線")*('0721 4度C'!$T:$T&lt;&gt;"")),'0721 4度C'!$T:$T)</f>
        <v>0.66805555555555551</v>
      </c>
    </row>
    <row r="18" spans="2:13" ht="17.25" customHeight="1">
      <c r="B18" s="544" t="s">
        <v>114</v>
      </c>
      <c r="C18" s="76" t="s">
        <v>68</v>
      </c>
      <c r="D18" s="77">
        <f>SUMIFS('0721 4度C'!$Y:$Y,'0721 4度C'!$A:$A,"新豐6線",'0721 4度C'!$B:$B,"平均")</f>
        <v>0</v>
      </c>
      <c r="E18" s="78">
        <f>SUMIFS('0721 4度C'!$Y:$Y,'0721 4度C'!$A:$A,"新豐2線",'0721 4度C'!$B:$B,"平均")</f>
        <v>0</v>
      </c>
      <c r="F18" s="78">
        <f>SUMIFS('0721 4度C'!$Y:$Y,'0721 4度C'!$A:$A,"新豐5線",'0721 4度C'!$B:$B,"平均")</f>
        <v>0</v>
      </c>
      <c r="G18" s="78">
        <f>SUMIFS('0721 4度C'!$Y:$Y,'0721 4度C'!$A:$A,"新豐7線",'0721 4度C'!$B:$B,"平均")</f>
        <v>0</v>
      </c>
      <c r="H18" s="78">
        <f>SUMIFS('0721 4度C'!$Y:$Y,'0721 4度C'!$A:$A,"新豐3線",'0721 4度C'!$B:$B,"平均")</f>
        <v>0</v>
      </c>
      <c r="I18" s="78">
        <f>SUMIFS('0721 4度C'!$Y:$Y,'0721 4度C'!$A:$A,"新豐1線",'0721 4度C'!$B:$B,"平均")</f>
        <v>0</v>
      </c>
      <c r="J18" s="79">
        <f>SUMIFS('0721 4度C'!$Y:$Y,'0721 4度C'!$A:$A,"新豐10線",'0721 4度C'!$B:$B,"平均")</f>
        <v>0</v>
      </c>
      <c r="K18" s="80">
        <f>SUMIFS('0721 4度C'!$Y:$Y,'0721 4度C'!$A:$A,"新豐8線",'0721 4度C'!$B:$B,"平均")</f>
        <v>0</v>
      </c>
      <c r="L18" s="78">
        <f>SUMIFS('0721 4度C'!$Y:$Y,'0721 4度C'!$A:$A,"新豐9線",'0721 4度C'!$B:$B,"平均")</f>
        <v>0</v>
      </c>
      <c r="M18" s="79">
        <f>SUMIFS('0721 4度C'!$Y:$Y,'0721 4度C'!$A:$A,"新豐4線",'0721 4度C'!$B:$B,"平均")</f>
        <v>0</v>
      </c>
    </row>
    <row r="19" spans="2:13" ht="17.25" customHeight="1">
      <c r="B19" s="545"/>
      <c r="C19" s="76" t="s">
        <v>1950</v>
      </c>
      <c r="D19" s="77">
        <f>SUMIFS('0721 4度C'!$Z:$Z,'0721 4度C'!$A:$A,"新豐6線",'0721 4度C'!$B:$B,"平均")</f>
        <v>0</v>
      </c>
      <c r="E19" s="78">
        <f>SUMIFS('0721 4度C'!$Z:$Z,'0721 4度C'!$A:$A,"新豐2線",'0721 4度C'!$B:$B,"平均")</f>
        <v>0</v>
      </c>
      <c r="F19" s="78">
        <f>SUMIFS('0721 4度C'!$Z:$Z,'0721 4度C'!$A:$A,"新豐5線",'0721 4度C'!$B:$B,"平均")</f>
        <v>0</v>
      </c>
      <c r="G19" s="78">
        <f>SUMIFS('0721 4度C'!$Z:$Z,'0721 4度C'!$A:$A,"新豐7線",'0721 4度C'!$B:$B,"平均")</f>
        <v>0</v>
      </c>
      <c r="H19" s="78">
        <f>SUMIFS('0721 4度C'!$Z:$Z,'0721 4度C'!$A:$A,"新豐3線",'0721 4度C'!$B:$B,"平均")</f>
        <v>0</v>
      </c>
      <c r="I19" s="78">
        <f>SUMIFS('0721 4度C'!$Z:$Z,'0721 4度C'!$A:$A,"新豐1線",'0721 4度C'!$B:$B,"平均")</f>
        <v>0</v>
      </c>
      <c r="J19" s="79">
        <f>SUMIFS('0721 4度C'!$Z:$Z,'0721 4度C'!$A:$A,"新豐10線",'0721 4度C'!$B:$B,"平均")</f>
        <v>0</v>
      </c>
      <c r="K19" s="80">
        <f>SUMIFS('0721 4度C'!$Z:$Z,'0721 4度C'!$A:$A,"新豐8線",'0721 4度C'!$B:$B,"平均")</f>
        <v>0</v>
      </c>
      <c r="L19" s="78">
        <f>SUMIFS('0721 4度C'!$Z:$Z,'0721 4度C'!$A:$A,"新豐9線",'0721 4度C'!$B:$B,"平均")</f>
        <v>0</v>
      </c>
      <c r="M19" s="79">
        <f>SUMIFS('0721 4度C'!$Z:$Z,'0721 4度C'!$A:$A,"新豐4線",'0721 4度C'!$B:$B,"平均")</f>
        <v>0</v>
      </c>
    </row>
    <row r="20" spans="2:13" ht="17.25" customHeight="1">
      <c r="B20" s="544" t="s">
        <v>1949</v>
      </c>
      <c r="C20" s="76" t="s">
        <v>68</v>
      </c>
      <c r="D20" s="77">
        <f>SUMIFS('0721 4度C'!$AC:$AC,'0721 4度C'!$A:$A,"新豐6線",'0721 4度C'!$B:$B,"平均")</f>
        <v>2</v>
      </c>
      <c r="E20" s="78">
        <f>SUMIFS('0721 4度C'!$AC:$AC,'0721 4度C'!$A:$A,"新豐2線",'0721 4度C'!$B:$B,"平均")</f>
        <v>5</v>
      </c>
      <c r="F20" s="78">
        <f>SUMIFS('0721 4度C'!$AC:$AC,'0721 4度C'!$A:$A,"新豐5線",'0721 4度C'!$B:$B,"平均")</f>
        <v>8</v>
      </c>
      <c r="G20" s="78">
        <f>SUMIFS('0721 4度C'!$AC:$AC,'0721 4度C'!$A:$A,"新豐7線",'0721 4度C'!$B:$B,"平均")</f>
        <v>7</v>
      </c>
      <c r="H20" s="78">
        <f>SUMIFS('0721 4度C'!$AC:$AC,'0721 4度C'!$A:$A,"新豐3線",'0721 4度C'!$B:$B,"平均")</f>
        <v>4</v>
      </c>
      <c r="I20" s="78">
        <f>SUMIFS('0721 4度C'!$AC:$AC,'0721 4度C'!$A:$A,"新豐1線",'0721 4度C'!$B:$B,"平均")</f>
        <v>8</v>
      </c>
      <c r="J20" s="79">
        <f>SUMIFS('0721 4度C'!$AC:$AC,'0721 4度C'!$A:$A,"新豐10線",'0721 4度C'!$B:$B,"平均")</f>
        <v>4</v>
      </c>
      <c r="K20" s="80">
        <f>SUMIFS('0721 4度C'!$AC:$AC,'0721 4度C'!$A:$A,"新豐8線",'0721 4度C'!$B:$B,"平均")</f>
        <v>7</v>
      </c>
      <c r="L20" s="78">
        <f>SUMIFS('0721 4度C'!$AC:$AC,'0721 4度C'!$A:$A,"新豐9線",'0721 4度C'!$B:$B,"平均")</f>
        <v>8</v>
      </c>
      <c r="M20" s="79">
        <f>SUMIFS('0721 4度C'!$AC:$AC,'0721 4度C'!$A:$A,"新豐4線",'0721 4度C'!$B:$B,"平均")</f>
        <v>7</v>
      </c>
    </row>
    <row r="21" spans="2:13" ht="17.25" customHeight="1">
      <c r="B21" s="545"/>
      <c r="C21" s="76" t="s">
        <v>1948</v>
      </c>
      <c r="D21" s="77">
        <f>SUMIFS('0721 4度C'!$AD:$AD,'0721 4度C'!$A:$A,"新豐6線",'0721 4度C'!$B:$B,"平均")</f>
        <v>0</v>
      </c>
      <c r="E21" s="78">
        <f>SUMIFS('0721 4度C'!$AD:$AD,'0721 4度C'!$A:$A,"新豐2線",'0721 4度C'!$B:$B,"平均")</f>
        <v>0</v>
      </c>
      <c r="F21" s="78">
        <f>SUMIFS('0721 4度C'!$AD:$AD,'0721 4度C'!$A:$A,"新豐5線",'0721 4度C'!$B:$B,"平均")</f>
        <v>0</v>
      </c>
      <c r="G21" s="78">
        <f>SUMIFS('0721 4度C'!$AD:$AD,'0721 4度C'!$A:$A,"新豐7線",'0721 4度C'!$B:$B,"平均")</f>
        <v>0</v>
      </c>
      <c r="H21" s="78">
        <f>SUMIFS('0721 4度C'!$AD:$AD,'0721 4度C'!$A:$A,"新豐3線",'0721 4度C'!$B:$B,"平均")</f>
        <v>0</v>
      </c>
      <c r="I21" s="78">
        <f>SUMIFS('0721 4度C'!$AD:$AD,'0721 4度C'!$A:$A,"新豐1線",'0721 4度C'!$B:$B,"平均")</f>
        <v>0</v>
      </c>
      <c r="J21" s="79">
        <f>SUMIFS('0721 4度C'!$AD:$AD,'0721 4度C'!$A:$A,"新豐10線",'0721 4度C'!$B:$B,"平均")</f>
        <v>0</v>
      </c>
      <c r="K21" s="80">
        <f>SUMIFS('0721 4度C'!$AD:$AD,'0721 4度C'!$A:$A,"新豐8線",'0721 4度C'!$B:$B,"平均")</f>
        <v>0</v>
      </c>
      <c r="L21" s="78">
        <f>SUMIFS('0721 4度C'!$AD:$AD,'0721 4度C'!$A:$A,"新豐9線",'0721 4度C'!$B:$B,"平均")</f>
        <v>0</v>
      </c>
      <c r="M21" s="79">
        <f>SUMIFS('0721 4度C'!$AD:$AD,'0721 4度C'!$A:$A,"新豐4線",'0721 4度C'!$B:$B,"平均")</f>
        <v>0</v>
      </c>
    </row>
    <row r="22" spans="2:13" ht="17.25" customHeight="1">
      <c r="B22" s="546" t="s">
        <v>118</v>
      </c>
      <c r="C22" s="547"/>
      <c r="D22" s="81">
        <f>SUMIFS('0721 4度C'!$I:$I,'0721 4度C'!$A:$A,"新豐6線",'0721 4度C'!$B:$B,"平均")</f>
        <v>15.5</v>
      </c>
      <c r="E22" s="82">
        <f>SUMIFS('0721 4度C'!$I:$I,'0721 4度C'!$A:$A,"新豐2線",'0721 4度C'!$B:$B,"平均")</f>
        <v>17.399999999999999</v>
      </c>
      <c r="F22" s="82">
        <f>SUMIFS('0721 4度C'!$I:$I,'0721 4度C'!$A:$A,"新豐5線",'0721 4度C'!$B:$B,"平均")</f>
        <v>18.625</v>
      </c>
      <c r="G22" s="82">
        <f>SUMIFS('0721 4度C'!$I:$I,'0721 4度C'!$A:$A,"新豐7線",'0721 4度C'!$B:$B,"平均")</f>
        <v>15.714285714285714</v>
      </c>
      <c r="H22" s="82">
        <f>SUMIFS('0721 4度C'!$I:$I,'0721 4度C'!$A:$A,"新豐3線",'0721 4度C'!$B:$B,"平均")</f>
        <v>9.75</v>
      </c>
      <c r="I22" s="82">
        <f>SUMIFS('0721 4度C'!$I:$I,'0721 4度C'!$A:$A,"新豐1線",'0721 4度C'!$B:$B,"平均")</f>
        <v>17.5</v>
      </c>
      <c r="J22" s="83">
        <f>SUMIFS('0721 4度C'!$I:$I,'0721 4度C'!$A:$A,"新豐10線",'0721 4度C'!$B:$B,"平均")</f>
        <v>9.75</v>
      </c>
      <c r="K22" s="81">
        <f>SUMIFS('0721 4度C'!$I:$I,'0721 4度C'!$A:$A,"新豐8線",'0721 4度C'!$B:$B,"平均")</f>
        <v>17.428571428571427</v>
      </c>
      <c r="L22" s="82">
        <f>SUMIFS('0721 4度C'!$I:$I,'0721 4度C'!$A:$A,"新豐9線",'0721 4度C'!$B:$B,"平均")</f>
        <v>17.5</v>
      </c>
      <c r="M22" s="83">
        <f>SUMIFS('0721 4度C'!$I:$I,'0721 4度C'!$A:$A,"新豐4線",'0721 4度C'!$B:$B,"平均")</f>
        <v>16.714285714285715</v>
      </c>
    </row>
    <row r="23" spans="2:13" ht="17.25" customHeight="1">
      <c r="B23" s="546" t="s">
        <v>1947</v>
      </c>
      <c r="C23" s="547"/>
      <c r="D23" s="84" t="s">
        <v>54</v>
      </c>
      <c r="E23" s="85" t="s">
        <v>55</v>
      </c>
      <c r="F23" s="85" t="s">
        <v>1946</v>
      </c>
      <c r="G23" s="85" t="s">
        <v>120</v>
      </c>
      <c r="H23" s="85" t="s">
        <v>56</v>
      </c>
      <c r="I23" s="85" t="s">
        <v>54</v>
      </c>
      <c r="J23" s="86" t="s">
        <v>56</v>
      </c>
      <c r="K23" s="84" t="s">
        <v>1945</v>
      </c>
      <c r="L23" s="85" t="s">
        <v>1945</v>
      </c>
      <c r="M23" s="86" t="s">
        <v>1945</v>
      </c>
    </row>
    <row r="24" spans="2:13" ht="17.25" customHeight="1">
      <c r="B24" s="546" t="s">
        <v>232</v>
      </c>
      <c r="C24" s="547"/>
      <c r="D24" s="84"/>
      <c r="E24" s="85"/>
      <c r="F24" s="85" t="s">
        <v>1944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234</v>
      </c>
      <c r="C25" s="549"/>
      <c r="D25" s="87"/>
      <c r="E25" s="88" t="s">
        <v>1943</v>
      </c>
      <c r="F25" s="542" t="s">
        <v>126</v>
      </c>
      <c r="G25" s="543"/>
      <c r="H25" s="88" t="s">
        <v>127</v>
      </c>
      <c r="I25" s="88" t="s">
        <v>1942</v>
      </c>
      <c r="J25" s="89" t="s">
        <v>127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E4:F4"/>
    <mergeCell ref="G4:H4"/>
    <mergeCell ref="I4:J4"/>
    <mergeCell ref="C6:D6"/>
    <mergeCell ref="C5:D5"/>
    <mergeCell ref="E5:F5"/>
    <mergeCell ref="G5:H5"/>
    <mergeCell ref="I5:J5"/>
    <mergeCell ref="E6:F6"/>
    <mergeCell ref="B1:J2"/>
    <mergeCell ref="C3:D3"/>
    <mergeCell ref="F3:G3"/>
    <mergeCell ref="I3:J3"/>
    <mergeCell ref="B4:B8"/>
    <mergeCell ref="C4:D4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K6:K8"/>
    <mergeCell ref="L6:L8"/>
    <mergeCell ref="M6:M8"/>
    <mergeCell ref="K4:L4"/>
    <mergeCell ref="M4:N4"/>
    <mergeCell ref="N6:N8"/>
    <mergeCell ref="B10:C10"/>
    <mergeCell ref="D10:J10"/>
    <mergeCell ref="K10:M10"/>
    <mergeCell ref="B11:C12"/>
    <mergeCell ref="B13:B15"/>
    <mergeCell ref="B16:B17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3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5"/>
  <sheetViews>
    <sheetView zoomScale="80" zoomScaleNormal="80" workbookViewId="0">
      <pane ySplit="4" topLeftCell="A20" activePane="bottomLeft" state="frozen"/>
      <selection activeCell="A10" sqref="A10"/>
      <selection pane="bottomLeft" activeCell="A8" sqref="A8:A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130</v>
      </c>
      <c r="D1" s="3">
        <f>SUM(F5:F74)</f>
        <v>186942</v>
      </c>
      <c r="E1" s="382" t="s">
        <v>131</v>
      </c>
      <c r="F1" s="1">
        <f>SUM(G5:G74)</f>
        <v>6512120.6299999999</v>
      </c>
      <c r="G1" s="1" t="s">
        <v>519</v>
      </c>
      <c r="H1" s="4">
        <f>L7+L13+L52+L61+L22+L66+L38+L47+L30+L74</f>
        <v>155.88214285714287</v>
      </c>
      <c r="I1" s="654" t="s">
        <v>133</v>
      </c>
      <c r="J1" s="654"/>
      <c r="K1" s="654"/>
      <c r="L1" s="654" t="s">
        <v>1993</v>
      </c>
      <c r="M1" s="654"/>
      <c r="N1" s="654"/>
      <c r="O1" s="654" t="s">
        <v>135</v>
      </c>
      <c r="P1" s="654"/>
      <c r="Q1" s="654"/>
      <c r="R1" s="654"/>
      <c r="S1" s="654" t="s">
        <v>1992</v>
      </c>
      <c r="T1" s="654"/>
      <c r="U1" s="654"/>
      <c r="V1" s="654"/>
      <c r="W1" s="654"/>
      <c r="X1" s="654"/>
      <c r="Y1" s="5" t="s">
        <v>137</v>
      </c>
      <c r="Z1" s="6" t="s">
        <v>1991</v>
      </c>
      <c r="AA1" s="655" t="s">
        <v>139</v>
      </c>
      <c r="AB1" s="655"/>
      <c r="AC1" s="92" t="s">
        <v>137</v>
      </c>
      <c r="AD1" s="6" t="s">
        <v>140</v>
      </c>
      <c r="AE1" s="654" t="s">
        <v>1990</v>
      </c>
      <c r="AF1" s="656"/>
      <c r="AG1" s="656"/>
    </row>
    <row r="2" spans="1:33" ht="26.25" customHeight="1">
      <c r="A2" s="25">
        <v>46224</v>
      </c>
      <c r="B2" s="26" t="s">
        <v>689</v>
      </c>
      <c r="C2" s="2" t="s">
        <v>107</v>
      </c>
      <c r="D2" s="8">
        <f>AVERAGE(N7,N13,N52,N61,N22,N66,N30,N38,N47,N74)</f>
        <v>150.57058823691972</v>
      </c>
      <c r="E2" s="9" t="s">
        <v>0</v>
      </c>
      <c r="F2" s="10">
        <f>F1/D1</f>
        <v>34.834978923944327</v>
      </c>
      <c r="G2" s="1" t="s">
        <v>1989</v>
      </c>
      <c r="H2" s="390">
        <f>COUNT(H5:H74)</f>
        <v>10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SUM(Y7+Y13+Y22+Y30+Y38+Y47+Y52+Y61+Y66+Y74)</f>
        <v>0</v>
      </c>
      <c r="Z2" s="11">
        <f>SUM(Z7+Z13+Z22+Z30+Z38+Z47+Z52+Z61+Z66+Z74)</f>
        <v>0</v>
      </c>
      <c r="AA2" s="655"/>
      <c r="AB2" s="655"/>
      <c r="AC2" s="11">
        <v>60</v>
      </c>
      <c r="AD2" s="11">
        <f>SUM(AD7+AD13+AD22+AD30+AD38+AD47+AD52+AD61+AD66+AD74)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145</v>
      </c>
      <c r="C3" s="612" t="s">
        <v>1988</v>
      </c>
      <c r="D3" s="612"/>
      <c r="E3" s="652" t="s">
        <v>351</v>
      </c>
      <c r="F3" s="612" t="s">
        <v>255</v>
      </c>
      <c r="G3" s="652" t="s">
        <v>149</v>
      </c>
      <c r="H3" s="645" t="s">
        <v>150</v>
      </c>
      <c r="I3" s="644" t="s">
        <v>78</v>
      </c>
      <c r="J3" s="641" t="s">
        <v>154</v>
      </c>
      <c r="K3" s="650" t="s">
        <v>107</v>
      </c>
      <c r="L3" s="644" t="s">
        <v>78</v>
      </c>
      <c r="M3" s="641" t="s">
        <v>154</v>
      </c>
      <c r="N3" s="650" t="s">
        <v>107</v>
      </c>
      <c r="O3" s="644" t="s">
        <v>78</v>
      </c>
      <c r="P3" s="650" t="s">
        <v>107</v>
      </c>
      <c r="Q3" s="642" t="s">
        <v>158</v>
      </c>
      <c r="R3" s="621" t="s">
        <v>1987</v>
      </c>
      <c r="S3" s="651" t="s">
        <v>1</v>
      </c>
      <c r="T3" s="651"/>
      <c r="U3" s="645" t="s">
        <v>2</v>
      </c>
      <c r="V3" s="645" t="s">
        <v>1986</v>
      </c>
      <c r="W3" s="612" t="s">
        <v>161</v>
      </c>
      <c r="X3" s="612"/>
      <c r="Y3" s="646" t="s">
        <v>261</v>
      </c>
      <c r="Z3" s="611"/>
      <c r="AA3" s="647" t="s">
        <v>163</v>
      </c>
      <c r="AB3" s="648"/>
      <c r="AC3" s="646" t="s">
        <v>1985</v>
      </c>
      <c r="AD3" s="611"/>
      <c r="AE3" s="641" t="s">
        <v>154</v>
      </c>
      <c r="AF3" s="642" t="s">
        <v>158</v>
      </c>
      <c r="AG3" s="621" t="s">
        <v>159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89" t="s">
        <v>3</v>
      </c>
      <c r="T4" s="389" t="s">
        <v>4</v>
      </c>
      <c r="U4" s="645"/>
      <c r="V4" s="645"/>
      <c r="W4" s="382" t="s">
        <v>166</v>
      </c>
      <c r="X4" s="382" t="s">
        <v>167</v>
      </c>
      <c r="Y4" s="381" t="s">
        <v>68</v>
      </c>
      <c r="Z4" s="381" t="s">
        <v>115</v>
      </c>
      <c r="AA4" s="649"/>
      <c r="AB4" s="648"/>
      <c r="AC4" s="381" t="s">
        <v>170</v>
      </c>
      <c r="AD4" s="381" t="s">
        <v>171</v>
      </c>
      <c r="AE4" s="641"/>
      <c r="AF4" s="642"/>
      <c r="AG4" s="621"/>
    </row>
    <row r="5" spans="1:33">
      <c r="A5" s="643" t="s">
        <v>172</v>
      </c>
      <c r="B5" s="27" t="s">
        <v>5</v>
      </c>
      <c r="C5" s="657" t="s">
        <v>14</v>
      </c>
      <c r="D5" s="657"/>
      <c r="E5" s="27">
        <v>50.92</v>
      </c>
      <c r="F5" s="389">
        <v>2503</v>
      </c>
      <c r="G5" s="382">
        <f>E5*F5</f>
        <v>127452.76000000001</v>
      </c>
      <c r="H5" s="31" t="s">
        <v>40</v>
      </c>
      <c r="I5" s="387">
        <v>15</v>
      </c>
      <c r="J5" s="29">
        <v>2000</v>
      </c>
      <c r="K5" s="12">
        <f t="shared" ref="K5:K36" si="0">J5/I5</f>
        <v>133.33333333333334</v>
      </c>
      <c r="L5" s="387">
        <v>15</v>
      </c>
      <c r="M5" s="13">
        <f>F5/V5*60</f>
        <v>1925.3846153846141</v>
      </c>
      <c r="N5" s="12">
        <f t="shared" ref="N5:N36" si="1">M5/L5</f>
        <v>128.35897435897428</v>
      </c>
      <c r="O5" s="14">
        <f t="shared" ref="O5:O36" si="2">L5-I5</f>
        <v>0</v>
      </c>
      <c r="P5" s="15">
        <f t="shared" ref="P5:P36" si="3">N5-K5</f>
        <v>-4.9743589743590633</v>
      </c>
      <c r="Q5" s="383">
        <f t="shared" ref="Q5:Q36" si="4">N5/K5</f>
        <v>0.96269230769230707</v>
      </c>
      <c r="R5" s="616">
        <f>Q7</f>
        <v>0.96186940966010681</v>
      </c>
      <c r="S5" s="32">
        <v>0.70833333333333337</v>
      </c>
      <c r="T5" s="32">
        <v>0.76250000000000007</v>
      </c>
      <c r="U5" s="382"/>
      <c r="V5" s="388">
        <f>(T5-S5)*24*60</f>
        <v>78.000000000000043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36" si="5">M5-J5</f>
        <v>-74.615384615385892</v>
      </c>
      <c r="AF5" s="383">
        <f t="shared" ref="AF5:AF36" si="6">M5/J5</f>
        <v>0.96269230769230707</v>
      </c>
      <c r="AG5" s="616">
        <f>AF7</f>
        <v>0.96186940966010681</v>
      </c>
    </row>
    <row r="6" spans="1:33">
      <c r="A6" s="644" t="s">
        <v>172</v>
      </c>
      <c r="B6" s="27" t="s">
        <v>5</v>
      </c>
      <c r="C6" s="657" t="s">
        <v>19</v>
      </c>
      <c r="D6" s="657"/>
      <c r="E6" s="27">
        <v>50.98</v>
      </c>
      <c r="F6" s="389">
        <v>2755</v>
      </c>
      <c r="G6" s="382">
        <f>E6*F6</f>
        <v>140449.9</v>
      </c>
      <c r="H6" s="31" t="s">
        <v>40</v>
      </c>
      <c r="I6" s="387">
        <v>16</v>
      </c>
      <c r="J6" s="29">
        <v>2000</v>
      </c>
      <c r="K6" s="12">
        <f t="shared" si="0"/>
        <v>125</v>
      </c>
      <c r="L6" s="387">
        <v>16</v>
      </c>
      <c r="M6" s="13">
        <f>F6/V6*60</f>
        <v>1922.0930232558135</v>
      </c>
      <c r="N6" s="12">
        <f t="shared" si="1"/>
        <v>120.13081395348834</v>
      </c>
      <c r="O6" s="14">
        <f t="shared" si="2"/>
        <v>0</v>
      </c>
      <c r="P6" s="15">
        <f t="shared" si="3"/>
        <v>-4.8691860465116577</v>
      </c>
      <c r="Q6" s="383">
        <f t="shared" si="4"/>
        <v>0.96104651162790677</v>
      </c>
      <c r="R6" s="616"/>
      <c r="S6" s="32">
        <v>0.76666666666666672</v>
      </c>
      <c r="T6" s="32">
        <v>0.82638888888888895</v>
      </c>
      <c r="U6" s="382">
        <f>IF(S6=TIME(17,0,0),"",(S6-T5)*24*60)</f>
        <v>5.9999999999999787</v>
      </c>
      <c r="V6" s="388">
        <f>(T6-S6)*24*60</f>
        <v>86.000000000000014</v>
      </c>
      <c r="W6" s="16"/>
      <c r="X6" s="16"/>
      <c r="Y6" s="16"/>
      <c r="Z6" s="16"/>
      <c r="AA6" s="612"/>
      <c r="AB6" s="612"/>
      <c r="AC6" s="18"/>
      <c r="AD6" s="18"/>
      <c r="AE6" s="14">
        <f t="shared" si="5"/>
        <v>-77.906976744186522</v>
      </c>
      <c r="AF6" s="383">
        <f t="shared" si="6"/>
        <v>0.96104651162790677</v>
      </c>
      <c r="AG6" s="616"/>
    </row>
    <row r="7" spans="1:33">
      <c r="A7" s="644" t="s">
        <v>172</v>
      </c>
      <c r="B7" s="27" t="s">
        <v>70</v>
      </c>
      <c r="C7" s="658"/>
      <c r="D7" s="658"/>
      <c r="E7" s="384"/>
      <c r="F7" s="28"/>
      <c r="G7" s="12"/>
      <c r="H7" s="389"/>
      <c r="I7" s="21">
        <v>15.5</v>
      </c>
      <c r="J7" s="29">
        <v>2000</v>
      </c>
      <c r="K7" s="12">
        <f t="shared" si="0"/>
        <v>129.03225806451613</v>
      </c>
      <c r="L7" s="21">
        <v>15.5</v>
      </c>
      <c r="M7" s="13">
        <f>AVERAGE(M5:M6)</f>
        <v>1923.7388193202137</v>
      </c>
      <c r="N7" s="12">
        <f t="shared" si="1"/>
        <v>124.11218189162669</v>
      </c>
      <c r="O7" s="14">
        <f t="shared" si="2"/>
        <v>0</v>
      </c>
      <c r="P7" s="15">
        <f t="shared" si="3"/>
        <v>-4.9200761728894378</v>
      </c>
      <c r="Q7" s="383">
        <f t="shared" si="4"/>
        <v>0.96186940966010681</v>
      </c>
      <c r="R7" s="616"/>
      <c r="S7" s="32"/>
      <c r="T7" s="32"/>
      <c r="U7" s="382"/>
      <c r="V7" s="38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5"/>
        <v>-76.261180679786321</v>
      </c>
      <c r="AF7" s="383">
        <f t="shared" si="6"/>
        <v>0.96186940966010681</v>
      </c>
      <c r="AG7" s="616"/>
    </row>
    <row r="8" spans="1:33" ht="15.75" customHeight="1">
      <c r="A8" s="640" t="s">
        <v>175</v>
      </c>
      <c r="B8" s="27" t="s">
        <v>8</v>
      </c>
      <c r="C8" s="638" t="s">
        <v>10</v>
      </c>
      <c r="D8" s="639"/>
      <c r="E8" s="27">
        <v>39.799999999999997</v>
      </c>
      <c r="F8" s="389">
        <v>3700</v>
      </c>
      <c r="G8" s="382">
        <f>E8*F8</f>
        <v>147260</v>
      </c>
      <c r="H8" s="31">
        <v>2</v>
      </c>
      <c r="I8" s="387">
        <v>17</v>
      </c>
      <c r="J8" s="29">
        <v>1500</v>
      </c>
      <c r="K8" s="12">
        <f t="shared" si="0"/>
        <v>88.235294117647058</v>
      </c>
      <c r="L8" s="387">
        <v>17</v>
      </c>
      <c r="M8" s="13">
        <f>F8/V8*60</f>
        <v>1432.2580645161293</v>
      </c>
      <c r="N8" s="12">
        <f t="shared" si="1"/>
        <v>84.250474383301722</v>
      </c>
      <c r="O8" s="14">
        <f t="shared" si="2"/>
        <v>0</v>
      </c>
      <c r="P8" s="15">
        <f t="shared" si="3"/>
        <v>-3.9848197343453364</v>
      </c>
      <c r="Q8" s="383">
        <f t="shared" si="4"/>
        <v>0.95483870967741957</v>
      </c>
      <c r="R8" s="616">
        <f>Q13</f>
        <v>0.95692023276511984</v>
      </c>
      <c r="S8" s="32">
        <v>8.3333333333333329E-2</v>
      </c>
      <c r="T8" s="32">
        <v>0.19097222222222221</v>
      </c>
      <c r="U8" s="382"/>
      <c r="V8" s="388">
        <f>(T8-S8)*24*60</f>
        <v>154.99999999999997</v>
      </c>
      <c r="W8" s="16">
        <f>T8</f>
        <v>0.19097222222222221</v>
      </c>
      <c r="X8" s="16">
        <f>S9</f>
        <v>0.20902777777777776</v>
      </c>
      <c r="Y8" s="16"/>
      <c r="Z8" s="16"/>
      <c r="AA8" s="612"/>
      <c r="AB8" s="612"/>
      <c r="AC8" s="18">
        <v>5</v>
      </c>
      <c r="AD8" s="18"/>
      <c r="AE8" s="14">
        <f t="shared" si="5"/>
        <v>-67.741935483870748</v>
      </c>
      <c r="AF8" s="383">
        <f t="shared" si="6"/>
        <v>0.95483870967741946</v>
      </c>
      <c r="AG8" s="616">
        <f>AF13</f>
        <v>0.95692023276511984</v>
      </c>
    </row>
    <row r="9" spans="1:33" ht="15.75" customHeight="1">
      <c r="A9" s="640" t="s">
        <v>1984</v>
      </c>
      <c r="B9" s="27" t="s">
        <v>8</v>
      </c>
      <c r="C9" s="638" t="s">
        <v>63</v>
      </c>
      <c r="D9" s="639"/>
      <c r="E9" s="27">
        <v>39.46</v>
      </c>
      <c r="F9" s="389">
        <v>3322</v>
      </c>
      <c r="G9" s="382">
        <f>E9*F9</f>
        <v>131086.12</v>
      </c>
      <c r="H9" s="31" t="s">
        <v>40</v>
      </c>
      <c r="I9" s="387">
        <v>15</v>
      </c>
      <c r="J9" s="29">
        <v>1500</v>
      </c>
      <c r="K9" s="12">
        <f t="shared" si="0"/>
        <v>100</v>
      </c>
      <c r="L9" s="387">
        <v>15</v>
      </c>
      <c r="M9" s="13">
        <f>F9/V9*60</f>
        <v>1433.9568345323739</v>
      </c>
      <c r="N9" s="12">
        <f t="shared" si="1"/>
        <v>95.597122302158269</v>
      </c>
      <c r="O9" s="14">
        <f t="shared" si="2"/>
        <v>0</v>
      </c>
      <c r="P9" s="15">
        <f t="shared" si="3"/>
        <v>-4.4028776978417312</v>
      </c>
      <c r="Q9" s="383">
        <f t="shared" si="4"/>
        <v>0.95597122302158266</v>
      </c>
      <c r="R9" s="616"/>
      <c r="S9" s="32">
        <v>0.20902777777777776</v>
      </c>
      <c r="T9" s="32">
        <v>0.30555555555555552</v>
      </c>
      <c r="U9" s="382">
        <f>IF(S9=TIME(17,0,0),"",(S9-T8)*24*60)</f>
        <v>25.999999999999986</v>
      </c>
      <c r="V9" s="388">
        <f>(T9-S9)*24*60</f>
        <v>139</v>
      </c>
      <c r="W9" s="16"/>
      <c r="X9" s="16"/>
      <c r="Y9" s="16"/>
      <c r="Z9" s="16"/>
      <c r="AA9" s="612"/>
      <c r="AB9" s="612"/>
      <c r="AC9" s="18"/>
      <c r="AD9" s="18"/>
      <c r="AE9" s="14">
        <f t="shared" si="5"/>
        <v>-66.043165467626068</v>
      </c>
      <c r="AF9" s="383">
        <f t="shared" si="6"/>
        <v>0.95597122302158266</v>
      </c>
      <c r="AG9" s="616"/>
    </row>
    <row r="10" spans="1:33" ht="15.75" customHeight="1">
      <c r="A10" s="640" t="s">
        <v>1984</v>
      </c>
      <c r="B10" s="27" t="s">
        <v>8</v>
      </c>
      <c r="C10" s="638" t="s">
        <v>74</v>
      </c>
      <c r="D10" s="639"/>
      <c r="E10" s="27">
        <v>39.520000000000003</v>
      </c>
      <c r="F10" s="389">
        <v>2516</v>
      </c>
      <c r="G10" s="382">
        <f>E10*F10</f>
        <v>99432.320000000007</v>
      </c>
      <c r="H10" s="31" t="s">
        <v>40</v>
      </c>
      <c r="I10" s="387">
        <v>19</v>
      </c>
      <c r="J10" s="29">
        <v>1500</v>
      </c>
      <c r="K10" s="12">
        <f t="shared" si="0"/>
        <v>78.94736842105263</v>
      </c>
      <c r="L10" s="387">
        <v>19</v>
      </c>
      <c r="M10" s="13">
        <f>F10/V10*60</f>
        <v>1437.7142857142853</v>
      </c>
      <c r="N10" s="12">
        <f t="shared" si="1"/>
        <v>75.66917293233081</v>
      </c>
      <c r="O10" s="14">
        <f t="shared" si="2"/>
        <v>0</v>
      </c>
      <c r="P10" s="15">
        <f t="shared" si="3"/>
        <v>-3.2781954887218205</v>
      </c>
      <c r="Q10" s="383">
        <f t="shared" si="4"/>
        <v>0.95847619047619026</v>
      </c>
      <c r="R10" s="616"/>
      <c r="S10" s="32">
        <v>0.30972222222222218</v>
      </c>
      <c r="T10" s="32">
        <v>0.38263888888888886</v>
      </c>
      <c r="U10" s="382">
        <f>IF(S10=TIME(17,0,0),"",(S10-T9)*24*60)</f>
        <v>5.9999999999999787</v>
      </c>
      <c r="V10" s="388">
        <f>(T10-S10)*24*60</f>
        <v>105.00000000000003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5"/>
        <v>-62.285714285714675</v>
      </c>
      <c r="AF10" s="383">
        <f t="shared" si="6"/>
        <v>0.95847619047619026</v>
      </c>
      <c r="AG10" s="616"/>
    </row>
    <row r="11" spans="1:33" ht="15.75" customHeight="1">
      <c r="A11" s="640" t="s">
        <v>175</v>
      </c>
      <c r="B11" s="27" t="s">
        <v>8</v>
      </c>
      <c r="C11" s="638" t="s">
        <v>9</v>
      </c>
      <c r="D11" s="639"/>
      <c r="E11" s="27">
        <v>39.619999999999997</v>
      </c>
      <c r="F11" s="389">
        <v>4598</v>
      </c>
      <c r="G11" s="382">
        <f>E11*F11</f>
        <v>182172.75999999998</v>
      </c>
      <c r="H11" s="31" t="s">
        <v>40</v>
      </c>
      <c r="I11" s="387">
        <v>19</v>
      </c>
      <c r="J11" s="29">
        <v>1500</v>
      </c>
      <c r="K11" s="12">
        <f t="shared" si="0"/>
        <v>78.94736842105263</v>
      </c>
      <c r="L11" s="387">
        <v>19</v>
      </c>
      <c r="M11" s="13">
        <f>F11/V11*60</f>
        <v>1436.8750000000005</v>
      </c>
      <c r="N11" s="12">
        <f t="shared" si="1"/>
        <v>75.625000000000028</v>
      </c>
      <c r="O11" s="14">
        <f t="shared" si="2"/>
        <v>0</v>
      </c>
      <c r="P11" s="15">
        <f t="shared" si="3"/>
        <v>-3.3223684210526017</v>
      </c>
      <c r="Q11" s="383">
        <f t="shared" si="4"/>
        <v>0.95791666666666708</v>
      </c>
      <c r="R11" s="616"/>
      <c r="S11" s="32">
        <v>0.38611111111111107</v>
      </c>
      <c r="T11" s="32">
        <v>0.51944444444444438</v>
      </c>
      <c r="U11" s="382">
        <f>IF(S11=TIME(17,0,0),"",(S11-T10)*24*60)</f>
        <v>4.9999999999999822</v>
      </c>
      <c r="V11" s="388">
        <f>(T11-S11)*24*60</f>
        <v>191.99999999999994</v>
      </c>
      <c r="W11" s="16">
        <f>T11</f>
        <v>0.51944444444444438</v>
      </c>
      <c r="X11" s="16">
        <f>S12</f>
        <v>0.55972222222222212</v>
      </c>
      <c r="Y11" s="16"/>
      <c r="Z11" s="16"/>
      <c r="AA11" s="607"/>
      <c r="AB11" s="608"/>
      <c r="AC11" s="18"/>
      <c r="AD11" s="18"/>
      <c r="AE11" s="14">
        <f t="shared" si="5"/>
        <v>-63.124999999999545</v>
      </c>
      <c r="AF11" s="383">
        <f t="shared" si="6"/>
        <v>0.95791666666666697</v>
      </c>
      <c r="AG11" s="616"/>
    </row>
    <row r="12" spans="1:33" ht="15.75" customHeight="1">
      <c r="A12" s="640" t="s">
        <v>1984</v>
      </c>
      <c r="B12" s="27" t="s">
        <v>8</v>
      </c>
      <c r="C12" s="638" t="s">
        <v>10</v>
      </c>
      <c r="D12" s="639"/>
      <c r="E12" s="27">
        <v>39.799999999999997</v>
      </c>
      <c r="F12" s="389">
        <v>2944</v>
      </c>
      <c r="G12" s="382">
        <f>E12*F12</f>
        <v>117171.2</v>
      </c>
      <c r="H12" s="31" t="s">
        <v>40</v>
      </c>
      <c r="I12" s="387">
        <v>17</v>
      </c>
      <c r="J12" s="29">
        <v>1500</v>
      </c>
      <c r="K12" s="12">
        <f t="shared" si="0"/>
        <v>88.235294117647058</v>
      </c>
      <c r="L12" s="387">
        <v>17</v>
      </c>
      <c r="M12" s="13">
        <f>F12/V12*60</f>
        <v>1436.0975609756092</v>
      </c>
      <c r="N12" s="12">
        <f t="shared" si="1"/>
        <v>84.476327116212303</v>
      </c>
      <c r="O12" s="14">
        <f t="shared" si="2"/>
        <v>0</v>
      </c>
      <c r="P12" s="15">
        <f t="shared" si="3"/>
        <v>-3.7589670014347547</v>
      </c>
      <c r="Q12" s="383">
        <f t="shared" si="4"/>
        <v>0.95739837398373939</v>
      </c>
      <c r="R12" s="616"/>
      <c r="S12" s="32">
        <v>0.55972222222222212</v>
      </c>
      <c r="T12" s="32">
        <v>0.64513888888888882</v>
      </c>
      <c r="U12" s="382">
        <f>IF(S12=TIME(17,0,0),"",(S12-T11)*24*60)</f>
        <v>57.999999999999957</v>
      </c>
      <c r="V12" s="388">
        <f>(T12-S12)*24*60</f>
        <v>123.00000000000004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5"/>
        <v>-63.902439024390787</v>
      </c>
      <c r="AF12" s="383">
        <f t="shared" si="6"/>
        <v>0.9573983739837395</v>
      </c>
      <c r="AG12" s="616"/>
    </row>
    <row r="13" spans="1:33" ht="16.5" customHeight="1">
      <c r="A13" s="640" t="s">
        <v>1983</v>
      </c>
      <c r="B13" s="27" t="s">
        <v>70</v>
      </c>
      <c r="C13" s="658"/>
      <c r="D13" s="658"/>
      <c r="E13" s="384"/>
      <c r="F13" s="29"/>
      <c r="G13" s="13"/>
      <c r="H13" s="389"/>
      <c r="I13" s="21">
        <v>17.399999999999999</v>
      </c>
      <c r="J13" s="29">
        <v>1500</v>
      </c>
      <c r="K13" s="12">
        <f t="shared" si="0"/>
        <v>86.206896551724142</v>
      </c>
      <c r="L13" s="21">
        <v>17.399999999999999</v>
      </c>
      <c r="M13" s="13">
        <f>AVERAGE(M8:M12)</f>
        <v>1435.3803491476797</v>
      </c>
      <c r="N13" s="12">
        <f t="shared" si="1"/>
        <v>82.493123514234469</v>
      </c>
      <c r="O13" s="14">
        <f t="shared" si="2"/>
        <v>0</v>
      </c>
      <c r="P13" s="15">
        <f t="shared" si="3"/>
        <v>-3.7137730374896734</v>
      </c>
      <c r="Q13" s="383">
        <f t="shared" si="4"/>
        <v>0.95692023276511984</v>
      </c>
      <c r="R13" s="616"/>
      <c r="S13" s="32"/>
      <c r="T13" s="32"/>
      <c r="U13" s="12"/>
      <c r="V13" s="388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5"/>
        <v>-64.619650852320319</v>
      </c>
      <c r="AF13" s="383">
        <f t="shared" si="6"/>
        <v>0.95692023276511984</v>
      </c>
      <c r="AG13" s="616"/>
    </row>
    <row r="14" spans="1:33" ht="16.5" customHeight="1">
      <c r="A14" s="636" t="s">
        <v>1980</v>
      </c>
      <c r="B14" s="389" t="s">
        <v>1134</v>
      </c>
      <c r="C14" s="659" t="s">
        <v>1035</v>
      </c>
      <c r="D14" s="659"/>
      <c r="E14" s="27">
        <v>31.11</v>
      </c>
      <c r="F14" s="389">
        <v>3422</v>
      </c>
      <c r="G14" s="382">
        <f t="shared" ref="G14:G21" si="7">E14*F14</f>
        <v>106458.42</v>
      </c>
      <c r="H14" s="31" t="s">
        <v>40</v>
      </c>
      <c r="I14" s="387">
        <v>14</v>
      </c>
      <c r="J14" s="29">
        <v>2000</v>
      </c>
      <c r="K14" s="12">
        <f t="shared" si="0"/>
        <v>142.85714285714286</v>
      </c>
      <c r="L14" s="387">
        <v>14</v>
      </c>
      <c r="M14" s="13">
        <f t="shared" ref="M14:M21" si="8">F14/V14*60</f>
        <v>1918.8785046728972</v>
      </c>
      <c r="N14" s="12">
        <f t="shared" si="1"/>
        <v>137.06275033377838</v>
      </c>
      <c r="O14" s="14">
        <f t="shared" si="2"/>
        <v>0</v>
      </c>
      <c r="P14" s="15">
        <f t="shared" si="3"/>
        <v>-5.7943925233644791</v>
      </c>
      <c r="Q14" s="383">
        <f t="shared" si="4"/>
        <v>0.95943925233644867</v>
      </c>
      <c r="R14" s="616">
        <f>Q22</f>
        <v>0.95814942991212593</v>
      </c>
      <c r="S14" s="32">
        <v>8.3333333333333329E-2</v>
      </c>
      <c r="T14" s="32">
        <v>0.15763888888888888</v>
      </c>
      <c r="U14" s="382"/>
      <c r="V14" s="388">
        <f t="shared" ref="V14:V21" si="9">(T14-S14)*24*60</f>
        <v>107</v>
      </c>
      <c r="W14" s="16">
        <f>T14</f>
        <v>0.15763888888888888</v>
      </c>
      <c r="X14" s="16">
        <f>S15</f>
        <v>0.17638888888888887</v>
      </c>
      <c r="Y14" s="20"/>
      <c r="Z14" s="20"/>
      <c r="AA14" s="612"/>
      <c r="AB14" s="612"/>
      <c r="AC14" s="18">
        <v>8</v>
      </c>
      <c r="AD14" s="18"/>
      <c r="AE14" s="14">
        <f t="shared" si="5"/>
        <v>-81.121495327102821</v>
      </c>
      <c r="AF14" s="383">
        <f t="shared" si="6"/>
        <v>0.95943925233644856</v>
      </c>
      <c r="AG14" s="616">
        <f>AF22</f>
        <v>0.95814942991212582</v>
      </c>
    </row>
    <row r="15" spans="1:33" ht="16.5" customHeight="1">
      <c r="A15" s="637" t="s">
        <v>1982</v>
      </c>
      <c r="B15" s="389" t="s">
        <v>11</v>
      </c>
      <c r="C15" s="659" t="s">
        <v>67</v>
      </c>
      <c r="D15" s="659"/>
      <c r="E15" s="27">
        <v>38.619999999999997</v>
      </c>
      <c r="F15" s="389">
        <v>2532</v>
      </c>
      <c r="G15" s="382">
        <f t="shared" si="7"/>
        <v>97785.84</v>
      </c>
      <c r="H15" s="31" t="s">
        <v>40</v>
      </c>
      <c r="I15" s="387">
        <v>24</v>
      </c>
      <c r="J15" s="29">
        <v>1500</v>
      </c>
      <c r="K15" s="12">
        <f t="shared" si="0"/>
        <v>62.5</v>
      </c>
      <c r="L15" s="387">
        <v>24</v>
      </c>
      <c r="M15" s="13">
        <f t="shared" si="8"/>
        <v>1433.2075471698108</v>
      </c>
      <c r="N15" s="12">
        <f t="shared" si="1"/>
        <v>59.716981132075453</v>
      </c>
      <c r="O15" s="14">
        <f t="shared" si="2"/>
        <v>0</v>
      </c>
      <c r="P15" s="15">
        <f t="shared" si="3"/>
        <v>-2.7830188679245467</v>
      </c>
      <c r="Q15" s="383">
        <f t="shared" si="4"/>
        <v>0.9554716981132072</v>
      </c>
      <c r="R15" s="616"/>
      <c r="S15" s="32">
        <v>0.17638888888888887</v>
      </c>
      <c r="T15" s="32">
        <v>0.25</v>
      </c>
      <c r="U15" s="382">
        <f t="shared" ref="U15:U21" si="10">IF(S15=TIME(17,0,0),"",(S15-T14)*24*60)</f>
        <v>26.999999999999986</v>
      </c>
      <c r="V15" s="388">
        <f t="shared" si="9"/>
        <v>106.00000000000003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5"/>
        <v>-66.792452830189177</v>
      </c>
      <c r="AF15" s="383">
        <f t="shared" si="6"/>
        <v>0.9554716981132072</v>
      </c>
      <c r="AG15" s="616"/>
    </row>
    <row r="16" spans="1:33" ht="16.5" customHeight="1">
      <c r="A16" s="637" t="s">
        <v>1977</v>
      </c>
      <c r="B16" s="389" t="s">
        <v>11</v>
      </c>
      <c r="C16" s="659" t="s">
        <v>12</v>
      </c>
      <c r="D16" s="659"/>
      <c r="E16" s="27">
        <v>41</v>
      </c>
      <c r="F16" s="389">
        <v>2162</v>
      </c>
      <c r="G16" s="382">
        <f t="shared" si="7"/>
        <v>88642</v>
      </c>
      <c r="H16" s="31" t="s">
        <v>40</v>
      </c>
      <c r="I16" s="387">
        <v>26</v>
      </c>
      <c r="J16" s="29">
        <v>1500</v>
      </c>
      <c r="K16" s="12">
        <f t="shared" si="0"/>
        <v>57.692307692307693</v>
      </c>
      <c r="L16" s="387">
        <v>26</v>
      </c>
      <c r="M16" s="13">
        <f t="shared" si="8"/>
        <v>1441.3333333333333</v>
      </c>
      <c r="N16" s="12">
        <f t="shared" si="1"/>
        <v>55.435897435897431</v>
      </c>
      <c r="O16" s="14">
        <f t="shared" si="2"/>
        <v>0</v>
      </c>
      <c r="P16" s="15">
        <f t="shared" si="3"/>
        <v>-2.2564102564102626</v>
      </c>
      <c r="Q16" s="383">
        <f t="shared" si="4"/>
        <v>0.96088888888888879</v>
      </c>
      <c r="R16" s="616"/>
      <c r="S16" s="32">
        <v>0.25555555555555554</v>
      </c>
      <c r="T16" s="32">
        <v>0.31805555555555554</v>
      </c>
      <c r="U16" s="382">
        <f t="shared" si="10"/>
        <v>7.9999999999999716</v>
      </c>
      <c r="V16" s="388">
        <f t="shared" si="9"/>
        <v>90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5"/>
        <v>-58.666666666666742</v>
      </c>
      <c r="AF16" s="383">
        <f t="shared" si="6"/>
        <v>0.96088888888888879</v>
      </c>
      <c r="AG16" s="616"/>
    </row>
    <row r="17" spans="1:33" ht="16.5" customHeight="1">
      <c r="A17" s="637" t="s">
        <v>1981</v>
      </c>
      <c r="B17" s="389" t="s">
        <v>5</v>
      </c>
      <c r="C17" s="659" t="s">
        <v>66</v>
      </c>
      <c r="D17" s="659"/>
      <c r="E17" s="27">
        <v>37.03</v>
      </c>
      <c r="F17" s="389">
        <v>3614</v>
      </c>
      <c r="G17" s="382">
        <f t="shared" si="7"/>
        <v>133826.42000000001</v>
      </c>
      <c r="H17" s="31" t="s">
        <v>40</v>
      </c>
      <c r="I17" s="387">
        <v>13</v>
      </c>
      <c r="J17" s="29">
        <v>1500</v>
      </c>
      <c r="K17" s="12">
        <f t="shared" si="0"/>
        <v>115.38461538461539</v>
      </c>
      <c r="L17" s="387">
        <v>13</v>
      </c>
      <c r="M17" s="13">
        <f t="shared" si="8"/>
        <v>1436.0264900662248</v>
      </c>
      <c r="N17" s="12">
        <f t="shared" si="1"/>
        <v>110.46357615894037</v>
      </c>
      <c r="O17" s="14">
        <f t="shared" si="2"/>
        <v>0</v>
      </c>
      <c r="P17" s="15">
        <f t="shared" si="3"/>
        <v>-4.9210392256750168</v>
      </c>
      <c r="Q17" s="383">
        <f t="shared" si="4"/>
        <v>0.95735099337748319</v>
      </c>
      <c r="R17" s="616"/>
      <c r="S17" s="32">
        <v>0.32291666666666663</v>
      </c>
      <c r="T17" s="32">
        <v>0.42777777777777776</v>
      </c>
      <c r="U17" s="382">
        <f t="shared" si="10"/>
        <v>6.9999999999999751</v>
      </c>
      <c r="V17" s="388">
        <f t="shared" si="9"/>
        <v>151.00000000000003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5"/>
        <v>-63.973509933775176</v>
      </c>
      <c r="AF17" s="383">
        <f t="shared" si="6"/>
        <v>0.95735099337748319</v>
      </c>
      <c r="AG17" s="616"/>
    </row>
    <row r="18" spans="1:33" ht="16.5" customHeight="1">
      <c r="A18" s="637" t="s">
        <v>1978</v>
      </c>
      <c r="B18" s="389" t="s">
        <v>5</v>
      </c>
      <c r="C18" s="659" t="s">
        <v>6</v>
      </c>
      <c r="D18" s="659"/>
      <c r="E18" s="27">
        <v>50.67</v>
      </c>
      <c r="F18" s="389">
        <v>1824</v>
      </c>
      <c r="G18" s="382">
        <f t="shared" si="7"/>
        <v>92422.080000000002</v>
      </c>
      <c r="H18" s="31" t="s">
        <v>40</v>
      </c>
      <c r="I18" s="387">
        <v>17</v>
      </c>
      <c r="J18" s="29">
        <v>2000</v>
      </c>
      <c r="K18" s="12">
        <f t="shared" si="0"/>
        <v>117.64705882352941</v>
      </c>
      <c r="L18" s="387">
        <v>17</v>
      </c>
      <c r="M18" s="13">
        <f t="shared" si="8"/>
        <v>1920.0000000000014</v>
      </c>
      <c r="N18" s="12">
        <f t="shared" si="1"/>
        <v>112.94117647058832</v>
      </c>
      <c r="O18" s="14">
        <f t="shared" si="2"/>
        <v>0</v>
      </c>
      <c r="P18" s="15">
        <f t="shared" si="3"/>
        <v>-4.7058823529410887</v>
      </c>
      <c r="Q18" s="383">
        <f t="shared" si="4"/>
        <v>0.96000000000000074</v>
      </c>
      <c r="R18" s="616"/>
      <c r="S18" s="32">
        <v>0.70833333333333337</v>
      </c>
      <c r="T18" s="32">
        <v>0.74791666666666667</v>
      </c>
      <c r="U18" s="382" t="str">
        <f t="shared" si="10"/>
        <v/>
      </c>
      <c r="V18" s="388">
        <f t="shared" si="9"/>
        <v>56.999999999999957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5"/>
        <v>-79.999999999998636</v>
      </c>
      <c r="AF18" s="383">
        <f t="shared" si="6"/>
        <v>0.96000000000000063</v>
      </c>
      <c r="AG18" s="616"/>
    </row>
    <row r="19" spans="1:33" ht="16.5" customHeight="1">
      <c r="A19" s="637" t="s">
        <v>1980</v>
      </c>
      <c r="B19" s="389" t="s">
        <v>5</v>
      </c>
      <c r="C19" s="385" t="s">
        <v>615</v>
      </c>
      <c r="D19" s="386"/>
      <c r="E19" s="27">
        <v>54.5</v>
      </c>
      <c r="F19" s="389">
        <v>1000</v>
      </c>
      <c r="G19" s="382">
        <f t="shared" si="7"/>
        <v>54500</v>
      </c>
      <c r="H19" s="31">
        <v>2</v>
      </c>
      <c r="I19" s="387">
        <v>20</v>
      </c>
      <c r="J19" s="29">
        <v>1500</v>
      </c>
      <c r="K19" s="12">
        <f t="shared" si="0"/>
        <v>75</v>
      </c>
      <c r="L19" s="387">
        <v>20</v>
      </c>
      <c r="M19" s="13">
        <f t="shared" si="8"/>
        <v>1428.5714285714282</v>
      </c>
      <c r="N19" s="12">
        <f t="shared" si="1"/>
        <v>71.428571428571416</v>
      </c>
      <c r="O19" s="14">
        <f t="shared" si="2"/>
        <v>0</v>
      </c>
      <c r="P19" s="15">
        <f t="shared" si="3"/>
        <v>-3.5714285714285836</v>
      </c>
      <c r="Q19" s="383">
        <f t="shared" si="4"/>
        <v>0.95238095238095222</v>
      </c>
      <c r="R19" s="616"/>
      <c r="S19" s="32">
        <v>0.75347222222222221</v>
      </c>
      <c r="T19" s="32">
        <v>0.78263888888888888</v>
      </c>
      <c r="U19" s="382">
        <f t="shared" si="10"/>
        <v>7.9999999999999716</v>
      </c>
      <c r="V19" s="388">
        <f t="shared" si="9"/>
        <v>42.000000000000014</v>
      </c>
      <c r="W19" s="16"/>
      <c r="X19" s="16"/>
      <c r="Y19" s="19"/>
      <c r="Z19" s="19"/>
      <c r="AA19" s="378"/>
      <c r="AB19" s="379"/>
      <c r="AC19" s="18"/>
      <c r="AD19" s="18"/>
      <c r="AE19" s="14">
        <f t="shared" si="5"/>
        <v>-71.428571428571786</v>
      </c>
      <c r="AF19" s="383">
        <f t="shared" si="6"/>
        <v>0.95238095238095211</v>
      </c>
      <c r="AG19" s="616"/>
    </row>
    <row r="20" spans="1:33" ht="16.5" customHeight="1">
      <c r="A20" s="637" t="s">
        <v>1979</v>
      </c>
      <c r="B20" s="389" t="s">
        <v>5</v>
      </c>
      <c r="C20" s="385" t="s">
        <v>18</v>
      </c>
      <c r="D20" s="386"/>
      <c r="E20" s="27">
        <v>50.49</v>
      </c>
      <c r="F20" s="389">
        <v>1984</v>
      </c>
      <c r="G20" s="382">
        <f t="shared" si="7"/>
        <v>100172.16</v>
      </c>
      <c r="H20" s="31" t="s">
        <v>40</v>
      </c>
      <c r="I20" s="387">
        <v>15</v>
      </c>
      <c r="J20" s="29">
        <v>2000</v>
      </c>
      <c r="K20" s="12">
        <f t="shared" si="0"/>
        <v>133.33333333333334</v>
      </c>
      <c r="L20" s="387">
        <v>15</v>
      </c>
      <c r="M20" s="13">
        <f t="shared" si="8"/>
        <v>1920.0000000000018</v>
      </c>
      <c r="N20" s="12">
        <f t="shared" si="1"/>
        <v>128.00000000000011</v>
      </c>
      <c r="O20" s="14">
        <f t="shared" si="2"/>
        <v>0</v>
      </c>
      <c r="P20" s="15">
        <f t="shared" si="3"/>
        <v>-5.3333333333332291</v>
      </c>
      <c r="Q20" s="383">
        <f t="shared" si="4"/>
        <v>0.96000000000000074</v>
      </c>
      <c r="R20" s="616"/>
      <c r="S20" s="32">
        <v>0.78611111111111109</v>
      </c>
      <c r="T20" s="32">
        <v>0.82916666666666661</v>
      </c>
      <c r="U20" s="382">
        <f t="shared" si="10"/>
        <v>4.9999999999999822</v>
      </c>
      <c r="V20" s="388">
        <f t="shared" si="9"/>
        <v>61.999999999999943</v>
      </c>
      <c r="W20" s="16">
        <f>T20</f>
        <v>0.82916666666666661</v>
      </c>
      <c r="X20" s="16">
        <f>S21</f>
        <v>0.8701388888888888</v>
      </c>
      <c r="Y20" s="19"/>
      <c r="Z20" s="19"/>
      <c r="AA20" s="378"/>
      <c r="AB20" s="379"/>
      <c r="AC20" s="18"/>
      <c r="AD20" s="18"/>
      <c r="AE20" s="14">
        <f t="shared" si="5"/>
        <v>-79.999999999998181</v>
      </c>
      <c r="AF20" s="383">
        <f t="shared" si="6"/>
        <v>0.96000000000000096</v>
      </c>
      <c r="AG20" s="616"/>
    </row>
    <row r="21" spans="1:33" ht="16.5" customHeight="1">
      <c r="A21" s="637" t="s">
        <v>1978</v>
      </c>
      <c r="B21" s="389" t="s">
        <v>5</v>
      </c>
      <c r="C21" s="385" t="s">
        <v>615</v>
      </c>
      <c r="D21" s="386"/>
      <c r="E21" s="27">
        <v>54.5</v>
      </c>
      <c r="F21" s="389">
        <v>1437</v>
      </c>
      <c r="G21" s="382">
        <f t="shared" si="7"/>
        <v>78316.5</v>
      </c>
      <c r="H21" s="31" t="s">
        <v>40</v>
      </c>
      <c r="I21" s="387">
        <v>20</v>
      </c>
      <c r="J21" s="29">
        <v>1500</v>
      </c>
      <c r="K21" s="12">
        <f t="shared" si="0"/>
        <v>75</v>
      </c>
      <c r="L21" s="387">
        <v>20</v>
      </c>
      <c r="M21" s="13">
        <f t="shared" si="8"/>
        <v>1437.0000000000014</v>
      </c>
      <c r="N21" s="12">
        <f t="shared" si="1"/>
        <v>71.850000000000065</v>
      </c>
      <c r="O21" s="14">
        <f t="shared" si="2"/>
        <v>0</v>
      </c>
      <c r="P21" s="15">
        <f t="shared" si="3"/>
        <v>-3.1499999999999346</v>
      </c>
      <c r="Q21" s="383">
        <f t="shared" si="4"/>
        <v>0.95800000000000085</v>
      </c>
      <c r="R21" s="616"/>
      <c r="S21" s="32">
        <v>0.8701388888888888</v>
      </c>
      <c r="T21" s="32">
        <v>0.91180555555555542</v>
      </c>
      <c r="U21" s="382">
        <f t="shared" si="10"/>
        <v>58.99999999999995</v>
      </c>
      <c r="V21" s="388">
        <f t="shared" si="9"/>
        <v>59.999999999999943</v>
      </c>
      <c r="W21" s="16"/>
      <c r="X21" s="16"/>
      <c r="Y21" s="19"/>
      <c r="Z21" s="19"/>
      <c r="AA21" s="378"/>
      <c r="AB21" s="379"/>
      <c r="AC21" s="18"/>
      <c r="AD21" s="18"/>
      <c r="AE21" s="14">
        <f t="shared" si="5"/>
        <v>-62.999999999998636</v>
      </c>
      <c r="AF21" s="383">
        <f t="shared" si="6"/>
        <v>0.95800000000000096</v>
      </c>
      <c r="AG21" s="616"/>
    </row>
    <row r="22" spans="1:33" ht="16.5" customHeight="1">
      <c r="A22" s="637" t="s">
        <v>1977</v>
      </c>
      <c r="B22" s="27" t="s">
        <v>70</v>
      </c>
      <c r="C22" s="658"/>
      <c r="D22" s="658"/>
      <c r="E22" s="384"/>
      <c r="F22" s="28"/>
      <c r="G22" s="12"/>
      <c r="H22" s="389"/>
      <c r="I22" s="21">
        <v>18.625</v>
      </c>
      <c r="J22" s="29">
        <v>1687.5</v>
      </c>
      <c r="K22" s="12">
        <f t="shared" si="0"/>
        <v>90.604026845637577</v>
      </c>
      <c r="L22" s="21">
        <v>18.625</v>
      </c>
      <c r="M22" s="13">
        <f>AVERAGE(M14:M21)</f>
        <v>1616.8771629767123</v>
      </c>
      <c r="N22" s="12">
        <f t="shared" si="1"/>
        <v>86.812196669890596</v>
      </c>
      <c r="O22" s="14">
        <f t="shared" si="2"/>
        <v>0</v>
      </c>
      <c r="P22" s="15">
        <f t="shared" si="3"/>
        <v>-3.7918301757469806</v>
      </c>
      <c r="Q22" s="383">
        <f t="shared" si="4"/>
        <v>0.95814942991212593</v>
      </c>
      <c r="R22" s="616"/>
      <c r="S22" s="32"/>
      <c r="T22" s="32"/>
      <c r="U22" s="382"/>
      <c r="V22" s="388"/>
      <c r="W22" s="12"/>
      <c r="X22" s="12"/>
      <c r="Y22" s="22">
        <f>SUM(Y14:Y21)</f>
        <v>0</v>
      </c>
      <c r="Z22" s="22">
        <f>SUM(Z14:Z21)</f>
        <v>0</v>
      </c>
      <c r="AA22" s="611"/>
      <c r="AB22" s="611"/>
      <c r="AC22" s="22">
        <v>8</v>
      </c>
      <c r="AD22" s="22">
        <f>SUM(AD14:AD21)</f>
        <v>0</v>
      </c>
      <c r="AE22" s="14">
        <f t="shared" si="5"/>
        <v>-70.62283702328773</v>
      </c>
      <c r="AF22" s="383">
        <f t="shared" si="6"/>
        <v>0.95814942991212582</v>
      </c>
      <c r="AG22" s="616"/>
    </row>
    <row r="23" spans="1:33" ht="15.75" customHeight="1">
      <c r="A23" s="634" t="s">
        <v>179</v>
      </c>
      <c r="B23" s="27" t="s">
        <v>5</v>
      </c>
      <c r="C23" s="659" t="s">
        <v>16</v>
      </c>
      <c r="D23" s="659"/>
      <c r="E23" s="27">
        <v>50.67</v>
      </c>
      <c r="F23" s="389">
        <v>2454</v>
      </c>
      <c r="G23" s="382">
        <f t="shared" ref="G23:G29" si="11">E23*F23</f>
        <v>124344.18000000001</v>
      </c>
      <c r="H23" s="31" t="s">
        <v>40</v>
      </c>
      <c r="I23" s="387">
        <v>17</v>
      </c>
      <c r="J23" s="29">
        <v>2000</v>
      </c>
      <c r="K23" s="12">
        <f t="shared" si="0"/>
        <v>117.64705882352941</v>
      </c>
      <c r="L23" s="387">
        <v>17</v>
      </c>
      <c r="M23" s="13">
        <f t="shared" ref="M23:M29" si="12">F23/V23*60</f>
        <v>1912.2077922077922</v>
      </c>
      <c r="N23" s="12">
        <f t="shared" si="1"/>
        <v>112.48281130634072</v>
      </c>
      <c r="O23" s="14">
        <f t="shared" si="2"/>
        <v>0</v>
      </c>
      <c r="P23" s="15">
        <f t="shared" si="3"/>
        <v>-5.1642475171886844</v>
      </c>
      <c r="Q23" s="383">
        <f t="shared" si="4"/>
        <v>0.95610389610389623</v>
      </c>
      <c r="R23" s="616">
        <f>Q30</f>
        <v>0.95780815052481061</v>
      </c>
      <c r="S23" s="32">
        <v>0.20833333333333334</v>
      </c>
      <c r="T23" s="32">
        <v>0.26180555555555557</v>
      </c>
      <c r="U23" s="382"/>
      <c r="V23" s="388">
        <f t="shared" ref="V23:V29" si="13">(T23-S23)*24*60</f>
        <v>77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5"/>
        <v>-87.792207792207819</v>
      </c>
      <c r="AF23" s="383">
        <f t="shared" si="6"/>
        <v>0.95610389610389612</v>
      </c>
      <c r="AG23" s="616">
        <f>AF30</f>
        <v>0.95780815052481072</v>
      </c>
    </row>
    <row r="24" spans="1:33" ht="15.75" customHeight="1">
      <c r="A24" s="635" t="s">
        <v>1976</v>
      </c>
      <c r="B24" s="27" t="s">
        <v>5</v>
      </c>
      <c r="C24" s="659" t="s">
        <v>17</v>
      </c>
      <c r="D24" s="659"/>
      <c r="E24" s="27">
        <v>57.73</v>
      </c>
      <c r="F24" s="389">
        <v>2933</v>
      </c>
      <c r="G24" s="382">
        <f t="shared" si="11"/>
        <v>169322.09</v>
      </c>
      <c r="H24" s="31" t="s">
        <v>40</v>
      </c>
      <c r="I24" s="387">
        <v>14</v>
      </c>
      <c r="J24" s="29">
        <v>2000</v>
      </c>
      <c r="K24" s="12">
        <f t="shared" si="0"/>
        <v>142.85714285714286</v>
      </c>
      <c r="L24" s="387">
        <v>14</v>
      </c>
      <c r="M24" s="13">
        <f t="shared" si="12"/>
        <v>1912.8260869565217</v>
      </c>
      <c r="N24" s="12">
        <f t="shared" si="1"/>
        <v>136.63043478260869</v>
      </c>
      <c r="O24" s="14">
        <f t="shared" si="2"/>
        <v>0</v>
      </c>
      <c r="P24" s="15">
        <f t="shared" si="3"/>
        <v>-6.226708074534173</v>
      </c>
      <c r="Q24" s="383">
        <f t="shared" si="4"/>
        <v>0.95641304347826084</v>
      </c>
      <c r="R24" s="616"/>
      <c r="S24" s="32">
        <v>0.2673611111111111</v>
      </c>
      <c r="T24" s="32">
        <v>0.33124999999999999</v>
      </c>
      <c r="U24" s="382">
        <f t="shared" ref="U24:U29" si="14">IF(S24=TIME(17,0,0),"",(S24-T23)*24*60)</f>
        <v>7.9999999999999716</v>
      </c>
      <c r="V24" s="388">
        <f t="shared" si="13"/>
        <v>92</v>
      </c>
      <c r="W24" s="16"/>
      <c r="X24" s="382"/>
      <c r="Y24" s="382"/>
      <c r="Z24" s="382"/>
      <c r="AA24" s="612"/>
      <c r="AB24" s="612"/>
      <c r="AC24" s="18"/>
      <c r="AD24" s="18"/>
      <c r="AE24" s="14">
        <f t="shared" si="5"/>
        <v>-87.173913043478251</v>
      </c>
      <c r="AF24" s="383">
        <f t="shared" si="6"/>
        <v>0.95641304347826084</v>
      </c>
      <c r="AG24" s="616"/>
    </row>
    <row r="25" spans="1:33" ht="15.75" customHeight="1">
      <c r="A25" s="635" t="s">
        <v>1976</v>
      </c>
      <c r="B25" s="27" t="s">
        <v>5</v>
      </c>
      <c r="C25" s="659" t="s">
        <v>60</v>
      </c>
      <c r="D25" s="659"/>
      <c r="E25" s="27">
        <v>53.27</v>
      </c>
      <c r="F25" s="389">
        <v>2101</v>
      </c>
      <c r="G25" s="382">
        <f t="shared" si="11"/>
        <v>111920.27</v>
      </c>
      <c r="H25" s="31" t="s">
        <v>40</v>
      </c>
      <c r="I25" s="387">
        <v>16</v>
      </c>
      <c r="J25" s="29">
        <v>2000</v>
      </c>
      <c r="K25" s="12">
        <f t="shared" si="0"/>
        <v>125</v>
      </c>
      <c r="L25" s="387">
        <v>16</v>
      </c>
      <c r="M25" s="13">
        <f t="shared" si="12"/>
        <v>1910</v>
      </c>
      <c r="N25" s="12">
        <f t="shared" si="1"/>
        <v>119.375</v>
      </c>
      <c r="O25" s="14">
        <f t="shared" si="2"/>
        <v>0</v>
      </c>
      <c r="P25" s="15">
        <f t="shared" si="3"/>
        <v>-5.625</v>
      </c>
      <c r="Q25" s="383">
        <f t="shared" si="4"/>
        <v>0.95499999999999996</v>
      </c>
      <c r="R25" s="616"/>
      <c r="S25" s="32">
        <v>0.33611111111111108</v>
      </c>
      <c r="T25" s="32">
        <v>0.38194444444444442</v>
      </c>
      <c r="U25" s="382">
        <f t="shared" si="14"/>
        <v>6.9999999999999751</v>
      </c>
      <c r="V25" s="388">
        <f t="shared" si="13"/>
        <v>66</v>
      </c>
      <c r="W25" s="16"/>
      <c r="X25" s="382"/>
      <c r="Y25" s="382"/>
      <c r="Z25" s="382"/>
      <c r="AA25" s="612"/>
      <c r="AB25" s="612"/>
      <c r="AC25" s="18"/>
      <c r="AD25" s="18"/>
      <c r="AE25" s="14">
        <f t="shared" si="5"/>
        <v>-90</v>
      </c>
      <c r="AF25" s="383">
        <f t="shared" si="6"/>
        <v>0.95499999999999996</v>
      </c>
      <c r="AG25" s="616"/>
    </row>
    <row r="26" spans="1:33" ht="15.75" customHeight="1">
      <c r="A26" s="635" t="s">
        <v>1975</v>
      </c>
      <c r="B26" s="27" t="s">
        <v>5</v>
      </c>
      <c r="C26" s="659" t="s">
        <v>65</v>
      </c>
      <c r="D26" s="659"/>
      <c r="E26" s="27">
        <v>56.43</v>
      </c>
      <c r="F26" s="389">
        <v>1611</v>
      </c>
      <c r="G26" s="382">
        <f t="shared" si="11"/>
        <v>90908.73</v>
      </c>
      <c r="H26" s="31" t="s">
        <v>40</v>
      </c>
      <c r="I26" s="387">
        <v>13</v>
      </c>
      <c r="J26" s="29">
        <v>2000</v>
      </c>
      <c r="K26" s="12">
        <f t="shared" si="0"/>
        <v>153.84615384615384</v>
      </c>
      <c r="L26" s="387">
        <v>13</v>
      </c>
      <c r="M26" s="13">
        <f t="shared" si="12"/>
        <v>1933.2000000000003</v>
      </c>
      <c r="N26" s="12">
        <f t="shared" si="1"/>
        <v>148.70769230769233</v>
      </c>
      <c r="O26" s="14">
        <f t="shared" si="2"/>
        <v>0</v>
      </c>
      <c r="P26" s="15">
        <f t="shared" si="3"/>
        <v>-5.1384615384615131</v>
      </c>
      <c r="Q26" s="383">
        <f t="shared" si="4"/>
        <v>0.96660000000000013</v>
      </c>
      <c r="R26" s="616"/>
      <c r="S26" s="32">
        <v>0.70833333333333337</v>
      </c>
      <c r="T26" s="32">
        <v>0.74305555555555558</v>
      </c>
      <c r="U26" s="382" t="str">
        <f t="shared" si="14"/>
        <v/>
      </c>
      <c r="V26" s="388">
        <f t="shared" si="13"/>
        <v>49.999999999999986</v>
      </c>
      <c r="W26" s="16"/>
      <c r="X26" s="382"/>
      <c r="Y26" s="382"/>
      <c r="Z26" s="382"/>
      <c r="AA26" s="612"/>
      <c r="AB26" s="612"/>
      <c r="AC26" s="18"/>
      <c r="AD26" s="18"/>
      <c r="AE26" s="14">
        <f t="shared" si="5"/>
        <v>-66.799999999999727</v>
      </c>
      <c r="AF26" s="383">
        <f t="shared" si="6"/>
        <v>0.96660000000000013</v>
      </c>
      <c r="AG26" s="616"/>
    </row>
    <row r="27" spans="1:33" ht="15.75" customHeight="1">
      <c r="A27" s="635" t="s">
        <v>1975</v>
      </c>
      <c r="B27" s="27" t="s">
        <v>5</v>
      </c>
      <c r="C27" s="659" t="s">
        <v>1322</v>
      </c>
      <c r="D27" s="659"/>
      <c r="E27" s="27">
        <v>54.09</v>
      </c>
      <c r="F27" s="389">
        <v>3122</v>
      </c>
      <c r="G27" s="382">
        <f t="shared" si="11"/>
        <v>168868.98</v>
      </c>
      <c r="H27" s="31" t="s">
        <v>40</v>
      </c>
      <c r="I27" s="387">
        <v>18</v>
      </c>
      <c r="J27" s="29">
        <v>2000</v>
      </c>
      <c r="K27" s="12">
        <f t="shared" si="0"/>
        <v>111.11111111111111</v>
      </c>
      <c r="L27" s="387">
        <v>18</v>
      </c>
      <c r="M27" s="13">
        <f t="shared" si="12"/>
        <v>1911.4285714285718</v>
      </c>
      <c r="N27" s="12">
        <f t="shared" si="1"/>
        <v>106.1904761904762</v>
      </c>
      <c r="O27" s="14">
        <f t="shared" si="2"/>
        <v>0</v>
      </c>
      <c r="P27" s="15">
        <f t="shared" si="3"/>
        <v>-4.9206349206349103</v>
      </c>
      <c r="Q27" s="383">
        <f t="shared" si="4"/>
        <v>0.95571428571428585</v>
      </c>
      <c r="R27" s="616"/>
      <c r="S27" s="32">
        <v>0.74652777777777779</v>
      </c>
      <c r="T27" s="32">
        <v>0.81458333333333333</v>
      </c>
      <c r="U27" s="382">
        <f t="shared" si="14"/>
        <v>4.9999999999999822</v>
      </c>
      <c r="V27" s="388">
        <f t="shared" si="13"/>
        <v>97.999999999999972</v>
      </c>
      <c r="W27" s="16"/>
      <c r="X27" s="16"/>
      <c r="Y27" s="382"/>
      <c r="Z27" s="382"/>
      <c r="AA27" s="612"/>
      <c r="AB27" s="612"/>
      <c r="AC27" s="18"/>
      <c r="AD27" s="18"/>
      <c r="AE27" s="14">
        <f t="shared" si="5"/>
        <v>-88.571428571428214</v>
      </c>
      <c r="AF27" s="383">
        <f t="shared" si="6"/>
        <v>0.95571428571428585</v>
      </c>
      <c r="AG27" s="616"/>
    </row>
    <row r="28" spans="1:33" ht="15.75" customHeight="1">
      <c r="A28" s="635" t="s">
        <v>1976</v>
      </c>
      <c r="B28" s="27" t="s">
        <v>5</v>
      </c>
      <c r="C28" s="659" t="s">
        <v>1930</v>
      </c>
      <c r="D28" s="659"/>
      <c r="E28" s="27">
        <v>57.3</v>
      </c>
      <c r="F28" s="389">
        <v>1400</v>
      </c>
      <c r="G28" s="382">
        <f t="shared" si="11"/>
        <v>80220</v>
      </c>
      <c r="H28" s="31">
        <v>2</v>
      </c>
      <c r="I28" s="387">
        <v>16</v>
      </c>
      <c r="J28" s="29">
        <v>2000</v>
      </c>
      <c r="K28" s="12">
        <f t="shared" si="0"/>
        <v>125</v>
      </c>
      <c r="L28" s="387">
        <v>16</v>
      </c>
      <c r="M28" s="13">
        <f t="shared" si="12"/>
        <v>1909.090909090909</v>
      </c>
      <c r="N28" s="12">
        <f t="shared" si="1"/>
        <v>119.31818181818181</v>
      </c>
      <c r="O28" s="14">
        <f t="shared" si="2"/>
        <v>0</v>
      </c>
      <c r="P28" s="15">
        <f t="shared" si="3"/>
        <v>-5.681818181818187</v>
      </c>
      <c r="Q28" s="383">
        <f t="shared" si="4"/>
        <v>0.95454545454545447</v>
      </c>
      <c r="R28" s="616"/>
      <c r="S28" s="32">
        <v>0.81805555555555554</v>
      </c>
      <c r="T28" s="32">
        <v>0.84861111111111109</v>
      </c>
      <c r="U28" s="382">
        <f t="shared" si="14"/>
        <v>4.9999999999999822</v>
      </c>
      <c r="V28" s="388">
        <f t="shared" si="13"/>
        <v>44</v>
      </c>
      <c r="W28" s="16">
        <f>T28</f>
        <v>0.84861111111111109</v>
      </c>
      <c r="X28" s="16">
        <f>S29</f>
        <v>0.8881944444444444</v>
      </c>
      <c r="Y28" s="20"/>
      <c r="Z28" s="20"/>
      <c r="AA28" s="612"/>
      <c r="AB28" s="612"/>
      <c r="AC28" s="18"/>
      <c r="AD28" s="18"/>
      <c r="AE28" s="14">
        <f t="shared" si="5"/>
        <v>-90.909090909090992</v>
      </c>
      <c r="AF28" s="383">
        <f t="shared" si="6"/>
        <v>0.95454545454545447</v>
      </c>
      <c r="AG28" s="616"/>
    </row>
    <row r="29" spans="1:33" ht="15.75" customHeight="1">
      <c r="A29" s="635" t="s">
        <v>1976</v>
      </c>
      <c r="B29" s="27" t="s">
        <v>5</v>
      </c>
      <c r="C29" s="631" t="s">
        <v>1930</v>
      </c>
      <c r="D29" s="632"/>
      <c r="E29" s="27">
        <v>57.3</v>
      </c>
      <c r="F29" s="389">
        <v>3425</v>
      </c>
      <c r="G29" s="382">
        <f t="shared" si="11"/>
        <v>196252.5</v>
      </c>
      <c r="H29" s="31" t="s">
        <v>40</v>
      </c>
      <c r="I29" s="387">
        <v>16</v>
      </c>
      <c r="J29" s="29">
        <v>2000</v>
      </c>
      <c r="K29" s="12">
        <f t="shared" si="0"/>
        <v>125</v>
      </c>
      <c r="L29" s="387">
        <v>16</v>
      </c>
      <c r="M29" s="13">
        <f t="shared" si="12"/>
        <v>1920.5607476635523</v>
      </c>
      <c r="N29" s="12">
        <f t="shared" si="1"/>
        <v>120.03504672897202</v>
      </c>
      <c r="O29" s="14">
        <f t="shared" si="2"/>
        <v>0</v>
      </c>
      <c r="P29" s="15">
        <f t="shared" si="3"/>
        <v>-4.96495327102798</v>
      </c>
      <c r="Q29" s="383">
        <f t="shared" si="4"/>
        <v>0.96028037383177611</v>
      </c>
      <c r="R29" s="616"/>
      <c r="S29" s="32">
        <v>0.8881944444444444</v>
      </c>
      <c r="T29" s="32">
        <v>0.96249999999999991</v>
      </c>
      <c r="U29" s="382">
        <f t="shared" si="14"/>
        <v>56.999999999999957</v>
      </c>
      <c r="V29" s="388">
        <f t="shared" si="13"/>
        <v>106.99999999999994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5"/>
        <v>-79.43925233644768</v>
      </c>
      <c r="AF29" s="383">
        <f t="shared" si="6"/>
        <v>0.96028037383177611</v>
      </c>
      <c r="AG29" s="616"/>
    </row>
    <row r="30" spans="1:33" ht="15.75" customHeight="1">
      <c r="A30" s="635" t="s">
        <v>1975</v>
      </c>
      <c r="B30" s="27" t="s">
        <v>1974</v>
      </c>
      <c r="C30" s="658"/>
      <c r="D30" s="658"/>
      <c r="E30" s="384"/>
      <c r="F30" s="389"/>
      <c r="G30" s="382"/>
      <c r="H30" s="389"/>
      <c r="I30" s="21">
        <v>15.714285714285714</v>
      </c>
      <c r="J30" s="29">
        <v>2000</v>
      </c>
      <c r="K30" s="12">
        <f t="shared" si="0"/>
        <v>127.27272727272728</v>
      </c>
      <c r="L30" s="21">
        <v>15.714285714285714</v>
      </c>
      <c r="M30" s="13">
        <f>AVERAGE(M23:M29)</f>
        <v>1915.6163010496214</v>
      </c>
      <c r="N30" s="12">
        <f t="shared" si="1"/>
        <v>121.90285552133955</v>
      </c>
      <c r="O30" s="14">
        <f t="shared" si="2"/>
        <v>0</v>
      </c>
      <c r="P30" s="15">
        <f t="shared" si="3"/>
        <v>-5.3698717513877341</v>
      </c>
      <c r="Q30" s="383">
        <f t="shared" si="4"/>
        <v>0.95780815052481061</v>
      </c>
      <c r="R30" s="616"/>
      <c r="S30" s="32"/>
      <c r="T30" s="32"/>
      <c r="U30" s="12"/>
      <c r="V30" s="388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5"/>
        <v>-84.38369895037863</v>
      </c>
      <c r="AF30" s="383">
        <f t="shared" si="6"/>
        <v>0.95780815052481072</v>
      </c>
      <c r="AG30" s="616"/>
    </row>
    <row r="31" spans="1:33" ht="15.75" customHeight="1">
      <c r="A31" s="633" t="s">
        <v>180</v>
      </c>
      <c r="B31" s="27" t="s">
        <v>20</v>
      </c>
      <c r="C31" s="659" t="s">
        <v>21</v>
      </c>
      <c r="D31" s="659"/>
      <c r="E31" s="27">
        <v>31.29</v>
      </c>
      <c r="F31" s="389">
        <v>5500</v>
      </c>
      <c r="G31" s="382">
        <f t="shared" ref="G31:G37" si="15">E31*F31</f>
        <v>172095</v>
      </c>
      <c r="H31" s="31">
        <v>2</v>
      </c>
      <c r="I31" s="387">
        <v>18</v>
      </c>
      <c r="J31" s="29">
        <v>2400</v>
      </c>
      <c r="K31" s="12">
        <f t="shared" si="0"/>
        <v>133.33333333333334</v>
      </c>
      <c r="L31" s="387">
        <v>18</v>
      </c>
      <c r="M31" s="13">
        <f t="shared" ref="M31:M37" si="16">F31/V31*60</f>
        <v>2291.6666666666665</v>
      </c>
      <c r="N31" s="12">
        <f t="shared" si="1"/>
        <v>127.31481481481481</v>
      </c>
      <c r="O31" s="14">
        <f t="shared" si="2"/>
        <v>0</v>
      </c>
      <c r="P31" s="15">
        <f t="shared" si="3"/>
        <v>-6.0185185185185333</v>
      </c>
      <c r="Q31" s="383">
        <f t="shared" si="4"/>
        <v>0.95486111111111105</v>
      </c>
      <c r="R31" s="616">
        <f>Q38</f>
        <v>0.95408492806568213</v>
      </c>
      <c r="S31" s="32">
        <v>8.3333333333333329E-2</v>
      </c>
      <c r="T31" s="32">
        <v>0.18333333333333332</v>
      </c>
      <c r="U31" s="382"/>
      <c r="V31" s="388">
        <f t="shared" ref="V31:V37" si="17">(T31-S31)*24*60</f>
        <v>144</v>
      </c>
      <c r="W31" s="16">
        <f>T31</f>
        <v>0.18333333333333332</v>
      </c>
      <c r="X31" s="16">
        <f>S32</f>
        <v>0.20277777777777778</v>
      </c>
      <c r="Y31" s="16"/>
      <c r="Z31" s="16"/>
      <c r="AA31" s="612"/>
      <c r="AB31" s="612"/>
      <c r="AC31" s="18">
        <v>7</v>
      </c>
      <c r="AD31" s="18"/>
      <c r="AE31" s="14">
        <f t="shared" si="5"/>
        <v>-108.33333333333348</v>
      </c>
      <c r="AF31" s="383">
        <f t="shared" si="6"/>
        <v>0.95486111111111105</v>
      </c>
      <c r="AG31" s="616">
        <f>AF38</f>
        <v>0.95408492806568213</v>
      </c>
    </row>
    <row r="32" spans="1:33" ht="15.75" customHeight="1">
      <c r="A32" s="633" t="s">
        <v>1973</v>
      </c>
      <c r="B32" s="27" t="s">
        <v>20</v>
      </c>
      <c r="C32" s="659" t="s">
        <v>22</v>
      </c>
      <c r="D32" s="659"/>
      <c r="E32" s="27">
        <v>26.37</v>
      </c>
      <c r="F32" s="389">
        <v>6596</v>
      </c>
      <c r="G32" s="382">
        <f t="shared" si="15"/>
        <v>173936.52000000002</v>
      </c>
      <c r="H32" s="31" t="s">
        <v>40</v>
      </c>
      <c r="I32" s="387">
        <v>18</v>
      </c>
      <c r="J32" s="29">
        <v>2400</v>
      </c>
      <c r="K32" s="12">
        <f t="shared" si="0"/>
        <v>133.33333333333334</v>
      </c>
      <c r="L32" s="387">
        <v>18</v>
      </c>
      <c r="M32" s="13">
        <f t="shared" si="16"/>
        <v>2287.6300578034679</v>
      </c>
      <c r="N32" s="12">
        <f t="shared" si="1"/>
        <v>127.09055876685933</v>
      </c>
      <c r="O32" s="14">
        <f t="shared" si="2"/>
        <v>0</v>
      </c>
      <c r="P32" s="15">
        <f t="shared" si="3"/>
        <v>-6.2427745664740115</v>
      </c>
      <c r="Q32" s="383">
        <f t="shared" si="4"/>
        <v>0.95317919075144497</v>
      </c>
      <c r="R32" s="616"/>
      <c r="S32" s="32">
        <v>0.20277777777777778</v>
      </c>
      <c r="T32" s="32">
        <v>0.32291666666666669</v>
      </c>
      <c r="U32" s="382">
        <f t="shared" ref="U32:U37" si="18">(S32-T31)*24*60</f>
        <v>28.000000000000021</v>
      </c>
      <c r="V32" s="388">
        <f t="shared" si="17"/>
        <v>173.00000000000003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5"/>
        <v>-112.36994219653207</v>
      </c>
      <c r="AF32" s="383">
        <f t="shared" si="6"/>
        <v>0.95317919075144497</v>
      </c>
      <c r="AG32" s="616"/>
    </row>
    <row r="33" spans="1:33" ht="15.75" customHeight="1">
      <c r="A33" s="633" t="s">
        <v>1972</v>
      </c>
      <c r="B33" s="27" t="s">
        <v>20</v>
      </c>
      <c r="C33" s="659" t="s">
        <v>57</v>
      </c>
      <c r="D33" s="659"/>
      <c r="E33" s="27">
        <v>26.18</v>
      </c>
      <c r="F33" s="389">
        <v>4600</v>
      </c>
      <c r="G33" s="382">
        <f t="shared" si="15"/>
        <v>120428</v>
      </c>
      <c r="H33" s="31">
        <v>2</v>
      </c>
      <c r="I33" s="387">
        <v>18</v>
      </c>
      <c r="J33" s="29">
        <v>2400</v>
      </c>
      <c r="K33" s="12">
        <f t="shared" si="0"/>
        <v>133.33333333333334</v>
      </c>
      <c r="L33" s="387">
        <v>18</v>
      </c>
      <c r="M33" s="13">
        <f t="shared" si="16"/>
        <v>2300.0000000000005</v>
      </c>
      <c r="N33" s="12">
        <f t="shared" si="1"/>
        <v>127.7777777777778</v>
      </c>
      <c r="O33" s="14">
        <f t="shared" si="2"/>
        <v>0</v>
      </c>
      <c r="P33" s="15">
        <f t="shared" si="3"/>
        <v>-5.5555555555555429</v>
      </c>
      <c r="Q33" s="383">
        <f t="shared" si="4"/>
        <v>0.95833333333333348</v>
      </c>
      <c r="R33" s="616"/>
      <c r="S33" s="32">
        <v>0.32708333333333334</v>
      </c>
      <c r="T33" s="32">
        <v>0.41041666666666665</v>
      </c>
      <c r="U33" s="382">
        <f t="shared" si="18"/>
        <v>5.9999999999999787</v>
      </c>
      <c r="V33" s="388">
        <f t="shared" si="17"/>
        <v>119.99999999999997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5"/>
        <v>-99.999999999999545</v>
      </c>
      <c r="AF33" s="383">
        <f t="shared" si="6"/>
        <v>0.95833333333333348</v>
      </c>
      <c r="AG33" s="616"/>
    </row>
    <row r="34" spans="1:33" ht="15.75" customHeight="1">
      <c r="A34" s="633" t="s">
        <v>1971</v>
      </c>
      <c r="B34" s="27" t="s">
        <v>20</v>
      </c>
      <c r="C34" s="659" t="s">
        <v>59</v>
      </c>
      <c r="D34" s="659"/>
      <c r="E34" s="27">
        <v>25.99</v>
      </c>
      <c r="F34" s="389">
        <v>1486</v>
      </c>
      <c r="G34" s="382">
        <f t="shared" si="15"/>
        <v>38621.14</v>
      </c>
      <c r="H34" s="31" t="s">
        <v>40</v>
      </c>
      <c r="I34" s="387">
        <v>18</v>
      </c>
      <c r="J34" s="29">
        <v>2400</v>
      </c>
      <c r="K34" s="12">
        <f t="shared" si="0"/>
        <v>133.33333333333334</v>
      </c>
      <c r="L34" s="387">
        <v>18</v>
      </c>
      <c r="M34" s="13">
        <f t="shared" si="16"/>
        <v>2286.1538461538448</v>
      </c>
      <c r="N34" s="12">
        <f t="shared" si="1"/>
        <v>127.00854700854694</v>
      </c>
      <c r="O34" s="14">
        <f t="shared" si="2"/>
        <v>0</v>
      </c>
      <c r="P34" s="15">
        <f t="shared" si="3"/>
        <v>-6.3247863247864018</v>
      </c>
      <c r="Q34" s="383">
        <f t="shared" si="4"/>
        <v>0.95256410256410196</v>
      </c>
      <c r="R34" s="616"/>
      <c r="S34" s="32">
        <v>0.41388888888888886</v>
      </c>
      <c r="T34" s="32">
        <v>0.44097222222222221</v>
      </c>
      <c r="U34" s="382">
        <f t="shared" si="18"/>
        <v>4.9999999999999822</v>
      </c>
      <c r="V34" s="388">
        <f t="shared" si="17"/>
        <v>39.000000000000021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5"/>
        <v>-113.84615384615518</v>
      </c>
      <c r="AF34" s="383">
        <f t="shared" si="6"/>
        <v>0.95256410256410196</v>
      </c>
      <c r="AG34" s="616"/>
    </row>
    <row r="35" spans="1:33" ht="15.75" customHeight="1">
      <c r="A35" s="633" t="s">
        <v>1971</v>
      </c>
      <c r="B35" s="27" t="s">
        <v>20</v>
      </c>
      <c r="C35" s="659" t="s">
        <v>23</v>
      </c>
      <c r="D35" s="659"/>
      <c r="E35" s="27">
        <v>25.99</v>
      </c>
      <c r="F35" s="389">
        <v>4203</v>
      </c>
      <c r="G35" s="382">
        <f t="shared" si="15"/>
        <v>109235.96999999999</v>
      </c>
      <c r="H35" s="31" t="s">
        <v>40</v>
      </c>
      <c r="I35" s="387">
        <v>14</v>
      </c>
      <c r="J35" s="29">
        <v>2400</v>
      </c>
      <c r="K35" s="12">
        <f t="shared" si="0"/>
        <v>171.42857142857142</v>
      </c>
      <c r="L35" s="387">
        <v>14</v>
      </c>
      <c r="M35" s="13">
        <f t="shared" si="16"/>
        <v>2292.5454545454559</v>
      </c>
      <c r="N35" s="12">
        <f t="shared" si="1"/>
        <v>163.75324675324686</v>
      </c>
      <c r="O35" s="14">
        <f t="shared" si="2"/>
        <v>0</v>
      </c>
      <c r="P35" s="15">
        <f t="shared" si="3"/>
        <v>-7.6753246753245605</v>
      </c>
      <c r="Q35" s="383">
        <f t="shared" si="4"/>
        <v>0.95522727272727337</v>
      </c>
      <c r="R35" s="616"/>
      <c r="S35" s="32">
        <v>0.44444444444444442</v>
      </c>
      <c r="T35" s="32">
        <v>0.52083333333333326</v>
      </c>
      <c r="U35" s="382">
        <f t="shared" si="18"/>
        <v>4.9999999999999822</v>
      </c>
      <c r="V35" s="388">
        <f t="shared" si="17"/>
        <v>109.99999999999993</v>
      </c>
      <c r="W35" s="16">
        <f>T35</f>
        <v>0.52083333333333326</v>
      </c>
      <c r="X35" s="16">
        <f>S36</f>
        <v>0.56111111111111101</v>
      </c>
      <c r="Y35" s="16"/>
      <c r="Z35" s="16"/>
      <c r="AA35" s="612"/>
      <c r="AB35" s="612"/>
      <c r="AC35" s="18"/>
      <c r="AD35" s="18"/>
      <c r="AE35" s="14">
        <f t="shared" si="5"/>
        <v>-107.45454545454413</v>
      </c>
      <c r="AF35" s="383">
        <f t="shared" si="6"/>
        <v>0.95522727272727326</v>
      </c>
      <c r="AG35" s="616"/>
    </row>
    <row r="36" spans="1:33" ht="15.75" customHeight="1">
      <c r="A36" s="633" t="s">
        <v>1971</v>
      </c>
      <c r="B36" s="27" t="s">
        <v>20</v>
      </c>
      <c r="C36" s="659" t="s">
        <v>21</v>
      </c>
      <c r="D36" s="659"/>
      <c r="E36" s="27">
        <v>31.29</v>
      </c>
      <c r="F36" s="389">
        <v>4302</v>
      </c>
      <c r="G36" s="382">
        <f t="shared" si="15"/>
        <v>134609.57999999999</v>
      </c>
      <c r="H36" s="31" t="s">
        <v>40</v>
      </c>
      <c r="I36" s="387">
        <v>18</v>
      </c>
      <c r="J36" s="29">
        <v>2400</v>
      </c>
      <c r="K36" s="12">
        <f t="shared" si="0"/>
        <v>133.33333333333334</v>
      </c>
      <c r="L36" s="387">
        <v>18</v>
      </c>
      <c r="M36" s="13">
        <f t="shared" si="16"/>
        <v>2284.2477876106213</v>
      </c>
      <c r="N36" s="12">
        <f t="shared" si="1"/>
        <v>126.90265486725674</v>
      </c>
      <c r="O36" s="14">
        <f t="shared" si="2"/>
        <v>0</v>
      </c>
      <c r="P36" s="15">
        <f t="shared" si="3"/>
        <v>-6.4306784660765999</v>
      </c>
      <c r="Q36" s="383">
        <f t="shared" si="4"/>
        <v>0.95176991150442547</v>
      </c>
      <c r="R36" s="616"/>
      <c r="S36" s="32">
        <v>0.56111111111111101</v>
      </c>
      <c r="T36" s="32">
        <v>0.63958333333333317</v>
      </c>
      <c r="U36" s="382">
        <f t="shared" si="18"/>
        <v>57.999999999999957</v>
      </c>
      <c r="V36" s="388">
        <f t="shared" si="17"/>
        <v>112.99999999999991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5"/>
        <v>-115.75221238937866</v>
      </c>
      <c r="AF36" s="383">
        <f t="shared" si="6"/>
        <v>0.95176991150442558</v>
      </c>
      <c r="AG36" s="616"/>
    </row>
    <row r="37" spans="1:33" ht="15.75" customHeight="1">
      <c r="A37" s="633" t="s">
        <v>1971</v>
      </c>
      <c r="B37" s="27" t="s">
        <v>20</v>
      </c>
      <c r="C37" s="659" t="s">
        <v>57</v>
      </c>
      <c r="D37" s="659"/>
      <c r="E37" s="27">
        <v>26.18</v>
      </c>
      <c r="F37" s="389">
        <v>3582</v>
      </c>
      <c r="G37" s="382">
        <f t="shared" si="15"/>
        <v>93776.76</v>
      </c>
      <c r="H37" s="31" t="s">
        <v>40</v>
      </c>
      <c r="I37" s="387">
        <v>18</v>
      </c>
      <c r="J37" s="29">
        <v>2400</v>
      </c>
      <c r="K37" s="12">
        <f t="shared" ref="K37:K68" si="19">J37/I37</f>
        <v>133.33333333333334</v>
      </c>
      <c r="L37" s="387">
        <v>18</v>
      </c>
      <c r="M37" s="13">
        <f t="shared" si="16"/>
        <v>2286.3829787234044</v>
      </c>
      <c r="N37" s="12">
        <f t="shared" ref="N37:N68" si="20">M37/L37</f>
        <v>127.02127659574469</v>
      </c>
      <c r="O37" s="14">
        <f t="shared" ref="O37:O68" si="21">L37-I37</f>
        <v>0</v>
      </c>
      <c r="P37" s="15">
        <f t="shared" ref="P37:P68" si="22">N37-K37</f>
        <v>-6.312056737588648</v>
      </c>
      <c r="Q37" s="383">
        <f t="shared" ref="Q37:Q68" si="23">N37/K37</f>
        <v>0.95265957446808514</v>
      </c>
      <c r="R37" s="616"/>
      <c r="S37" s="32">
        <v>0.64374999999999982</v>
      </c>
      <c r="T37" s="32">
        <v>0.70902777777777759</v>
      </c>
      <c r="U37" s="382">
        <f t="shared" si="18"/>
        <v>5.9999999999999787</v>
      </c>
      <c r="V37" s="388">
        <f t="shared" si="17"/>
        <v>93.999999999999986</v>
      </c>
      <c r="W37" s="16"/>
      <c r="X37" s="16"/>
      <c r="Y37" s="16"/>
      <c r="Z37" s="16"/>
      <c r="AA37" s="612"/>
      <c r="AB37" s="612"/>
      <c r="AC37" s="18"/>
      <c r="AD37" s="18"/>
      <c r="AE37" s="14">
        <f t="shared" ref="AE37:AE68" si="24">M37-J37</f>
        <v>-113.61702127659555</v>
      </c>
      <c r="AF37" s="383">
        <f t="shared" ref="AF37:AF68" si="25">M37/J37</f>
        <v>0.95265957446808514</v>
      </c>
      <c r="AG37" s="616"/>
    </row>
    <row r="38" spans="1:33" ht="15.75" customHeight="1">
      <c r="A38" s="633" t="s">
        <v>1971</v>
      </c>
      <c r="B38" s="27" t="s">
        <v>1963</v>
      </c>
      <c r="C38" s="658"/>
      <c r="D38" s="658"/>
      <c r="E38" s="384"/>
      <c r="F38" s="389"/>
      <c r="G38" s="382"/>
      <c r="H38" s="389"/>
      <c r="I38" s="21">
        <v>17.428571428571427</v>
      </c>
      <c r="J38" s="29">
        <v>2400</v>
      </c>
      <c r="K38" s="12">
        <f t="shared" si="19"/>
        <v>137.70491803278691</v>
      </c>
      <c r="L38" s="21">
        <v>17.428571428571427</v>
      </c>
      <c r="M38" s="13">
        <f>AVERAGE(M31:M37)</f>
        <v>2289.8038273576371</v>
      </c>
      <c r="N38" s="12">
        <f t="shared" si="20"/>
        <v>131.38218681560215</v>
      </c>
      <c r="O38" s="14">
        <f t="shared" si="21"/>
        <v>0</v>
      </c>
      <c r="P38" s="15">
        <f t="shared" si="22"/>
        <v>-6.3227312171847529</v>
      </c>
      <c r="Q38" s="383">
        <f t="shared" si="23"/>
        <v>0.95408492806568213</v>
      </c>
      <c r="R38" s="616"/>
      <c r="S38" s="32"/>
      <c r="T38" s="32"/>
      <c r="U38" s="382"/>
      <c r="V38" s="388"/>
      <c r="W38" s="382"/>
      <c r="X38" s="382"/>
      <c r="Y38" s="22">
        <f>SUM(Y31:Y37)</f>
        <v>0</v>
      </c>
      <c r="Z38" s="22">
        <f>SUM(Z31:Z37)</f>
        <v>0</v>
      </c>
      <c r="AA38" s="611"/>
      <c r="AB38" s="611"/>
      <c r="AC38" s="22">
        <v>7</v>
      </c>
      <c r="AD38" s="22">
        <f>SUM(AD31:AD37)</f>
        <v>0</v>
      </c>
      <c r="AE38" s="14">
        <f t="shared" si="24"/>
        <v>-110.19617264236285</v>
      </c>
      <c r="AF38" s="383">
        <f t="shared" si="25"/>
        <v>0.95408492806568213</v>
      </c>
      <c r="AG38" s="616"/>
    </row>
    <row r="39" spans="1:33" ht="15.75" customHeight="1">
      <c r="A39" s="629" t="s">
        <v>1970</v>
      </c>
      <c r="B39" s="27" t="s">
        <v>20</v>
      </c>
      <c r="C39" s="660" t="s">
        <v>58</v>
      </c>
      <c r="D39" s="660"/>
      <c r="E39" s="27">
        <v>26.18</v>
      </c>
      <c r="F39" s="389">
        <v>3600</v>
      </c>
      <c r="G39" s="382">
        <f t="shared" ref="G39:G46" si="26">E39*F39</f>
        <v>94248</v>
      </c>
      <c r="H39" s="31">
        <v>2</v>
      </c>
      <c r="I39" s="387">
        <v>20</v>
      </c>
      <c r="J39" s="29">
        <v>2400</v>
      </c>
      <c r="K39" s="12">
        <f t="shared" si="19"/>
        <v>120</v>
      </c>
      <c r="L39" s="387">
        <v>20</v>
      </c>
      <c r="M39" s="13">
        <f t="shared" ref="M39:M46" si="27">F39/V39*60</f>
        <v>2297.8723404255315</v>
      </c>
      <c r="N39" s="12">
        <f t="shared" si="20"/>
        <v>114.89361702127658</v>
      </c>
      <c r="O39" s="14">
        <f t="shared" si="21"/>
        <v>0</v>
      </c>
      <c r="P39" s="15">
        <f t="shared" si="22"/>
        <v>-5.106382978723417</v>
      </c>
      <c r="Q39" s="383">
        <f t="shared" si="23"/>
        <v>0.95744680851063824</v>
      </c>
      <c r="R39" s="616">
        <f>Q47</f>
        <v>0.95666459466353648</v>
      </c>
      <c r="S39" s="32">
        <v>8.3333333333333329E-2</v>
      </c>
      <c r="T39" s="32">
        <v>0.14861111111111111</v>
      </c>
      <c r="U39" s="382"/>
      <c r="V39" s="388">
        <f t="shared" ref="V39:V46" si="28">(T39-S39)*24*60</f>
        <v>94.000000000000014</v>
      </c>
      <c r="W39" s="20">
        <f>T39</f>
        <v>0.14861111111111111</v>
      </c>
      <c r="X39" s="20">
        <f>S40</f>
        <v>0.1701388888888889</v>
      </c>
      <c r="Y39" s="20"/>
      <c r="Z39" s="20"/>
      <c r="AA39" s="612"/>
      <c r="AB39" s="612"/>
      <c r="AC39" s="18">
        <v>8</v>
      </c>
      <c r="AD39" s="18"/>
      <c r="AE39" s="14">
        <f t="shared" si="24"/>
        <v>-102.12765957446845</v>
      </c>
      <c r="AF39" s="383">
        <f t="shared" si="25"/>
        <v>0.95744680851063813</v>
      </c>
      <c r="AG39" s="616">
        <f>AF47</f>
        <v>0.95666459466353648</v>
      </c>
    </row>
    <row r="40" spans="1:33" ht="15.75" customHeight="1">
      <c r="A40" s="629" t="s">
        <v>181</v>
      </c>
      <c r="B40" s="27" t="s">
        <v>20</v>
      </c>
      <c r="C40" s="660" t="s">
        <v>25</v>
      </c>
      <c r="D40" s="660"/>
      <c r="E40" s="27">
        <v>24.43</v>
      </c>
      <c r="F40" s="389">
        <v>4200</v>
      </c>
      <c r="G40" s="382">
        <f t="shared" si="26"/>
        <v>102606</v>
      </c>
      <c r="H40" s="31">
        <v>2</v>
      </c>
      <c r="I40" s="387">
        <v>14</v>
      </c>
      <c r="J40" s="29">
        <v>2400</v>
      </c>
      <c r="K40" s="12">
        <f t="shared" si="19"/>
        <v>171.42857142857142</v>
      </c>
      <c r="L40" s="387">
        <v>14</v>
      </c>
      <c r="M40" s="13">
        <f t="shared" si="27"/>
        <v>2290.909090909091</v>
      </c>
      <c r="N40" s="12">
        <f t="shared" si="20"/>
        <v>163.63636363636365</v>
      </c>
      <c r="O40" s="14">
        <f t="shared" si="21"/>
        <v>0</v>
      </c>
      <c r="P40" s="15">
        <f t="shared" si="22"/>
        <v>-7.7922077922077619</v>
      </c>
      <c r="Q40" s="383">
        <f t="shared" si="23"/>
        <v>0.9545454545454547</v>
      </c>
      <c r="R40" s="616"/>
      <c r="S40" s="32">
        <v>0.1701388888888889</v>
      </c>
      <c r="T40" s="32">
        <v>0.24652777777777779</v>
      </c>
      <c r="U40" s="382">
        <f t="shared" ref="U40:U46" si="29">(S40-T39)*24*60</f>
        <v>31.000000000000011</v>
      </c>
      <c r="V40" s="388">
        <f t="shared" si="28"/>
        <v>110.00000000000001</v>
      </c>
      <c r="W40" s="382"/>
      <c r="X40" s="382"/>
      <c r="Y40" s="382"/>
      <c r="Z40" s="382"/>
      <c r="AA40" s="612"/>
      <c r="AB40" s="612"/>
      <c r="AC40" s="18"/>
      <c r="AD40" s="18"/>
      <c r="AE40" s="14">
        <f t="shared" si="24"/>
        <v>-109.09090909090901</v>
      </c>
      <c r="AF40" s="383">
        <f t="shared" si="25"/>
        <v>0.95454545454545459</v>
      </c>
      <c r="AG40" s="616"/>
    </row>
    <row r="41" spans="1:33">
      <c r="A41" s="630" t="s">
        <v>1968</v>
      </c>
      <c r="B41" s="27" t="s">
        <v>20</v>
      </c>
      <c r="C41" s="660" t="s">
        <v>83</v>
      </c>
      <c r="D41" s="660"/>
      <c r="E41" s="27">
        <v>25.98</v>
      </c>
      <c r="F41" s="389">
        <v>4025</v>
      </c>
      <c r="G41" s="382">
        <f t="shared" si="26"/>
        <v>104569.5</v>
      </c>
      <c r="H41" s="31" t="s">
        <v>40</v>
      </c>
      <c r="I41" s="387">
        <v>20</v>
      </c>
      <c r="J41" s="29">
        <v>2400</v>
      </c>
      <c r="K41" s="12">
        <f t="shared" si="19"/>
        <v>120</v>
      </c>
      <c r="L41" s="387">
        <v>20</v>
      </c>
      <c r="M41" s="13">
        <f t="shared" si="27"/>
        <v>2299.9999999999991</v>
      </c>
      <c r="N41" s="12">
        <f t="shared" si="20"/>
        <v>114.99999999999996</v>
      </c>
      <c r="O41" s="14">
        <f t="shared" si="21"/>
        <v>0</v>
      </c>
      <c r="P41" s="15">
        <f t="shared" si="22"/>
        <v>-5.0000000000000426</v>
      </c>
      <c r="Q41" s="383">
        <f t="shared" si="23"/>
        <v>0.95833333333333293</v>
      </c>
      <c r="R41" s="616"/>
      <c r="S41" s="32">
        <v>0.25208333333333333</v>
      </c>
      <c r="T41" s="32">
        <v>0.32500000000000001</v>
      </c>
      <c r="U41" s="382">
        <f t="shared" si="29"/>
        <v>7.9999999999999716</v>
      </c>
      <c r="V41" s="388">
        <f t="shared" si="28"/>
        <v>105.00000000000003</v>
      </c>
      <c r="W41" s="382"/>
      <c r="X41" s="382"/>
      <c r="Y41" s="382"/>
      <c r="Z41" s="382"/>
      <c r="AA41" s="612"/>
      <c r="AB41" s="612"/>
      <c r="AC41" s="18"/>
      <c r="AD41" s="18"/>
      <c r="AE41" s="14">
        <f t="shared" si="24"/>
        <v>-100.00000000000091</v>
      </c>
      <c r="AF41" s="383">
        <f t="shared" si="25"/>
        <v>0.95833333333333293</v>
      </c>
      <c r="AG41" s="616"/>
    </row>
    <row r="42" spans="1:33">
      <c r="A42" s="630" t="s">
        <v>1969</v>
      </c>
      <c r="B42" s="27" t="s">
        <v>20</v>
      </c>
      <c r="C42" s="660" t="s">
        <v>26</v>
      </c>
      <c r="D42" s="660"/>
      <c r="E42" s="27">
        <v>34.1</v>
      </c>
      <c r="F42" s="389">
        <v>3700</v>
      </c>
      <c r="G42" s="382">
        <f t="shared" si="26"/>
        <v>126170</v>
      </c>
      <c r="H42" s="31">
        <v>2</v>
      </c>
      <c r="I42" s="387">
        <v>17</v>
      </c>
      <c r="J42" s="29">
        <v>1600</v>
      </c>
      <c r="K42" s="12">
        <f t="shared" si="19"/>
        <v>94.117647058823536</v>
      </c>
      <c r="L42" s="387">
        <v>17</v>
      </c>
      <c r="M42" s="13">
        <f t="shared" si="27"/>
        <v>1531.0344827586209</v>
      </c>
      <c r="N42" s="12">
        <f t="shared" si="20"/>
        <v>90.060851926977705</v>
      </c>
      <c r="O42" s="14">
        <f t="shared" si="21"/>
        <v>0</v>
      </c>
      <c r="P42" s="15">
        <f t="shared" si="22"/>
        <v>-4.0567951318458313</v>
      </c>
      <c r="Q42" s="383">
        <f t="shared" si="23"/>
        <v>0.95689655172413801</v>
      </c>
      <c r="R42" s="616"/>
      <c r="S42" s="32">
        <v>0.32847222222222222</v>
      </c>
      <c r="T42" s="32">
        <v>0.42916666666666664</v>
      </c>
      <c r="U42" s="382">
        <f t="shared" si="29"/>
        <v>4.9999999999999822</v>
      </c>
      <c r="V42" s="388">
        <f t="shared" si="28"/>
        <v>144.99999999999997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24"/>
        <v>-68.965517241379075</v>
      </c>
      <c r="AF42" s="383">
        <f t="shared" si="25"/>
        <v>0.95689655172413812</v>
      </c>
      <c r="AG42" s="616"/>
    </row>
    <row r="43" spans="1:33">
      <c r="A43" s="630" t="s">
        <v>1968</v>
      </c>
      <c r="B43" s="27" t="s">
        <v>20</v>
      </c>
      <c r="C43" s="660" t="s">
        <v>64</v>
      </c>
      <c r="D43" s="660"/>
      <c r="E43" s="27">
        <v>20.21</v>
      </c>
      <c r="F43" s="389">
        <v>2667</v>
      </c>
      <c r="G43" s="382">
        <f t="shared" si="26"/>
        <v>53900.07</v>
      </c>
      <c r="H43" s="31" t="s">
        <v>40</v>
      </c>
      <c r="I43" s="387">
        <v>18</v>
      </c>
      <c r="J43" s="29">
        <v>2400</v>
      </c>
      <c r="K43" s="12">
        <f t="shared" si="19"/>
        <v>133.33333333333334</v>
      </c>
      <c r="L43" s="387">
        <v>18</v>
      </c>
      <c r="M43" s="13">
        <f t="shared" si="27"/>
        <v>2286.0000000000005</v>
      </c>
      <c r="N43" s="12">
        <f t="shared" si="20"/>
        <v>127.00000000000003</v>
      </c>
      <c r="O43" s="14">
        <f t="shared" si="21"/>
        <v>0</v>
      </c>
      <c r="P43" s="15">
        <f t="shared" si="22"/>
        <v>-6.3333333333333144</v>
      </c>
      <c r="Q43" s="383">
        <f t="shared" si="23"/>
        <v>0.95250000000000012</v>
      </c>
      <c r="R43" s="616"/>
      <c r="S43" s="32">
        <v>0.43263888888888885</v>
      </c>
      <c r="T43" s="32">
        <v>0.48124999999999996</v>
      </c>
      <c r="U43" s="382">
        <f t="shared" si="29"/>
        <v>4.9999999999999822</v>
      </c>
      <c r="V43" s="388">
        <f t="shared" si="28"/>
        <v>69.999999999999986</v>
      </c>
      <c r="W43" s="16">
        <f>T43</f>
        <v>0.48124999999999996</v>
      </c>
      <c r="X43" s="16">
        <f>S44</f>
        <v>0.52083333333333326</v>
      </c>
      <c r="Y43" s="16"/>
      <c r="Z43" s="16"/>
      <c r="AA43" s="612"/>
      <c r="AB43" s="612"/>
      <c r="AC43" s="18"/>
      <c r="AD43" s="18"/>
      <c r="AE43" s="14">
        <f t="shared" si="24"/>
        <v>-113.99999999999955</v>
      </c>
      <c r="AF43" s="383">
        <f t="shared" si="25"/>
        <v>0.95250000000000024</v>
      </c>
      <c r="AG43" s="616"/>
    </row>
    <row r="44" spans="1:33">
      <c r="A44" s="630" t="s">
        <v>1968</v>
      </c>
      <c r="B44" s="27" t="s">
        <v>20</v>
      </c>
      <c r="C44" s="660" t="s">
        <v>58</v>
      </c>
      <c r="D44" s="660"/>
      <c r="E44" s="27">
        <v>26.18</v>
      </c>
      <c r="F44" s="389">
        <v>2727</v>
      </c>
      <c r="G44" s="382">
        <f t="shared" si="26"/>
        <v>71392.86</v>
      </c>
      <c r="H44" s="31" t="s">
        <v>40</v>
      </c>
      <c r="I44" s="387">
        <v>20</v>
      </c>
      <c r="J44" s="29">
        <v>2400</v>
      </c>
      <c r="K44" s="12">
        <f t="shared" si="19"/>
        <v>120</v>
      </c>
      <c r="L44" s="387">
        <v>20</v>
      </c>
      <c r="M44" s="13">
        <f t="shared" si="27"/>
        <v>2304.5070422535191</v>
      </c>
      <c r="N44" s="12">
        <f t="shared" si="20"/>
        <v>115.22535211267595</v>
      </c>
      <c r="O44" s="14">
        <f t="shared" si="21"/>
        <v>0</v>
      </c>
      <c r="P44" s="15">
        <f t="shared" si="22"/>
        <v>-4.7746478873240505</v>
      </c>
      <c r="Q44" s="383">
        <f t="shared" si="23"/>
        <v>0.96021126760563291</v>
      </c>
      <c r="R44" s="616"/>
      <c r="S44" s="32">
        <v>0.52083333333333326</v>
      </c>
      <c r="T44" s="32">
        <v>0.57013888888888886</v>
      </c>
      <c r="U44" s="382">
        <f t="shared" si="29"/>
        <v>56.999999999999957</v>
      </c>
      <c r="V44" s="388">
        <f t="shared" si="28"/>
        <v>71.000000000000071</v>
      </c>
      <c r="W44" s="16"/>
      <c r="X44" s="16"/>
      <c r="Y44" s="16"/>
      <c r="Z44" s="16"/>
      <c r="AA44" s="612"/>
      <c r="AB44" s="612"/>
      <c r="AC44" s="18"/>
      <c r="AD44" s="18"/>
      <c r="AE44" s="14">
        <f t="shared" si="24"/>
        <v>-95.492957746480897</v>
      </c>
      <c r="AF44" s="383">
        <f t="shared" si="25"/>
        <v>0.96021126760563291</v>
      </c>
      <c r="AG44" s="616"/>
    </row>
    <row r="45" spans="1:33">
      <c r="A45" s="630" t="s">
        <v>1968</v>
      </c>
      <c r="B45" s="27" t="s">
        <v>20</v>
      </c>
      <c r="C45" s="660" t="s">
        <v>25</v>
      </c>
      <c r="D45" s="660"/>
      <c r="E45" s="27">
        <v>24.43</v>
      </c>
      <c r="F45" s="389">
        <v>3420</v>
      </c>
      <c r="G45" s="382">
        <f t="shared" si="26"/>
        <v>83550.600000000006</v>
      </c>
      <c r="H45" s="31" t="s">
        <v>40</v>
      </c>
      <c r="I45" s="387">
        <v>14</v>
      </c>
      <c r="J45" s="29">
        <v>2400</v>
      </c>
      <c r="K45" s="12">
        <f t="shared" si="19"/>
        <v>171.42857142857142</v>
      </c>
      <c r="L45" s="387">
        <v>14</v>
      </c>
      <c r="M45" s="13">
        <f t="shared" si="27"/>
        <v>2305.6179775280898</v>
      </c>
      <c r="N45" s="12">
        <f t="shared" si="20"/>
        <v>164.68699839486356</v>
      </c>
      <c r="O45" s="14">
        <f t="shared" si="21"/>
        <v>0</v>
      </c>
      <c r="P45" s="15">
        <f t="shared" si="22"/>
        <v>-6.7415730337078514</v>
      </c>
      <c r="Q45" s="383">
        <f t="shared" si="23"/>
        <v>0.96067415730337091</v>
      </c>
      <c r="R45" s="616"/>
      <c r="S45" s="32">
        <v>0.57361111111111107</v>
      </c>
      <c r="T45" s="32">
        <v>0.63541666666666663</v>
      </c>
      <c r="U45" s="382">
        <f t="shared" si="29"/>
        <v>4.9999999999999822</v>
      </c>
      <c r="V45" s="388">
        <f t="shared" si="28"/>
        <v>89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24"/>
        <v>-94.382022471910204</v>
      </c>
      <c r="AF45" s="383">
        <f t="shared" si="25"/>
        <v>0.9606741573033708</v>
      </c>
      <c r="AG45" s="616"/>
    </row>
    <row r="46" spans="1:33">
      <c r="A46" s="630" t="s">
        <v>1968</v>
      </c>
      <c r="B46" s="27" t="s">
        <v>20</v>
      </c>
      <c r="C46" s="660" t="s">
        <v>26</v>
      </c>
      <c r="D46" s="660"/>
      <c r="E46" s="27">
        <v>34.1</v>
      </c>
      <c r="F46" s="389">
        <v>2992</v>
      </c>
      <c r="G46" s="382">
        <f t="shared" si="26"/>
        <v>102027.2</v>
      </c>
      <c r="H46" s="31" t="s">
        <v>40</v>
      </c>
      <c r="I46" s="387">
        <v>17</v>
      </c>
      <c r="J46" s="29">
        <v>1600</v>
      </c>
      <c r="K46" s="12">
        <f t="shared" si="19"/>
        <v>94.117647058823536</v>
      </c>
      <c r="L46" s="387">
        <v>17</v>
      </c>
      <c r="M46" s="13">
        <f t="shared" si="27"/>
        <v>1521.3559322033891</v>
      </c>
      <c r="N46" s="12">
        <f t="shared" si="20"/>
        <v>89.491525423728774</v>
      </c>
      <c r="O46" s="14">
        <f t="shared" si="21"/>
        <v>0</v>
      </c>
      <c r="P46" s="15">
        <f t="shared" si="22"/>
        <v>-4.626121635094762</v>
      </c>
      <c r="Q46" s="383">
        <f t="shared" si="23"/>
        <v>0.9508474576271182</v>
      </c>
      <c r="R46" s="616"/>
      <c r="S46" s="32">
        <v>0.64027777777777772</v>
      </c>
      <c r="T46" s="32">
        <v>0.72222222222222221</v>
      </c>
      <c r="U46" s="382">
        <f t="shared" si="29"/>
        <v>6.9999999999999751</v>
      </c>
      <c r="V46" s="388">
        <f t="shared" si="28"/>
        <v>118.00000000000006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24"/>
        <v>-78.644067796610898</v>
      </c>
      <c r="AF46" s="383">
        <f t="shared" si="25"/>
        <v>0.9508474576271182</v>
      </c>
      <c r="AG46" s="616"/>
    </row>
    <row r="47" spans="1:33">
      <c r="A47" s="630" t="s">
        <v>1968</v>
      </c>
      <c r="B47" s="28" t="s">
        <v>1967</v>
      </c>
      <c r="C47" s="658"/>
      <c r="D47" s="658"/>
      <c r="E47" s="384"/>
      <c r="F47" s="28"/>
      <c r="G47" s="12"/>
      <c r="H47" s="389"/>
      <c r="I47" s="21">
        <v>17.5</v>
      </c>
      <c r="J47" s="29">
        <v>2200</v>
      </c>
      <c r="K47" s="12">
        <f t="shared" si="19"/>
        <v>125.71428571428571</v>
      </c>
      <c r="L47" s="21">
        <v>17.5</v>
      </c>
      <c r="M47" s="13">
        <f>AVERAGE(M39:M46)</f>
        <v>2104.6621082597803</v>
      </c>
      <c r="N47" s="12">
        <f t="shared" si="20"/>
        <v>120.26640618627316</v>
      </c>
      <c r="O47" s="14">
        <f t="shared" si="21"/>
        <v>0</v>
      </c>
      <c r="P47" s="15">
        <f t="shared" si="22"/>
        <v>-5.4478795280125496</v>
      </c>
      <c r="Q47" s="383">
        <f t="shared" si="23"/>
        <v>0.95666459466353648</v>
      </c>
      <c r="R47" s="616"/>
      <c r="S47" s="32"/>
      <c r="T47" s="32"/>
      <c r="U47" s="12"/>
      <c r="V47" s="388"/>
      <c r="W47" s="12"/>
      <c r="X47" s="12"/>
      <c r="Y47" s="22">
        <f>SUM(Y39:Y46)</f>
        <v>0</v>
      </c>
      <c r="Z47" s="22">
        <f>SUM(Z39:Z46)</f>
        <v>0</v>
      </c>
      <c r="AA47" s="611"/>
      <c r="AB47" s="611"/>
      <c r="AC47" s="22">
        <v>8</v>
      </c>
      <c r="AD47" s="22">
        <f>SUM(AD39:AD46)</f>
        <v>0</v>
      </c>
      <c r="AE47" s="14">
        <f t="shared" si="24"/>
        <v>-95.337891740219675</v>
      </c>
      <c r="AF47" s="383">
        <f t="shared" si="25"/>
        <v>0.95666459466353648</v>
      </c>
      <c r="AG47" s="616"/>
    </row>
    <row r="48" spans="1:33" ht="15.75" customHeight="1">
      <c r="A48" s="623" t="s">
        <v>1966</v>
      </c>
      <c r="B48" s="27" t="s">
        <v>27</v>
      </c>
      <c r="C48" s="605" t="s">
        <v>33</v>
      </c>
      <c r="D48" s="606"/>
      <c r="E48" s="27">
        <v>34.36</v>
      </c>
      <c r="F48" s="389">
        <v>2349</v>
      </c>
      <c r="G48" s="382">
        <f>E48*F48</f>
        <v>80711.64</v>
      </c>
      <c r="H48" s="31" t="s">
        <v>40</v>
      </c>
      <c r="I48" s="387">
        <v>10</v>
      </c>
      <c r="J48" s="29">
        <v>3000</v>
      </c>
      <c r="K48" s="12">
        <f t="shared" si="19"/>
        <v>300</v>
      </c>
      <c r="L48" s="387">
        <v>10</v>
      </c>
      <c r="M48" s="13">
        <f>F48/V48*60</f>
        <v>2876.3265306122457</v>
      </c>
      <c r="N48" s="13">
        <f t="shared" si="20"/>
        <v>287.63265306122457</v>
      </c>
      <c r="O48" s="14">
        <f t="shared" si="21"/>
        <v>0</v>
      </c>
      <c r="P48" s="15">
        <f t="shared" si="22"/>
        <v>-12.367346938775427</v>
      </c>
      <c r="Q48" s="383">
        <f t="shared" si="23"/>
        <v>0.95877551020408192</v>
      </c>
      <c r="R48" s="626">
        <f>Q52</f>
        <v>0.95512491203377881</v>
      </c>
      <c r="S48" s="32">
        <v>0.20833333333333334</v>
      </c>
      <c r="T48" s="32">
        <v>0.24236111111111111</v>
      </c>
      <c r="U48" s="20"/>
      <c r="V48" s="388">
        <f>(T48-S48)*24*60</f>
        <v>48.999999999999986</v>
      </c>
      <c r="W48" s="16"/>
      <c r="X48" s="16"/>
      <c r="Y48" s="19"/>
      <c r="Z48" s="19"/>
      <c r="AA48" s="607"/>
      <c r="AB48" s="608"/>
      <c r="AC48" s="18">
        <v>4</v>
      </c>
      <c r="AD48" s="18"/>
      <c r="AE48" s="14">
        <f t="shared" si="24"/>
        <v>-123.67346938775427</v>
      </c>
      <c r="AF48" s="383">
        <f t="shared" si="25"/>
        <v>0.95877551020408192</v>
      </c>
      <c r="AG48" s="626">
        <f>AF52</f>
        <v>0.95512491203377881</v>
      </c>
    </row>
    <row r="49" spans="1:33" ht="15.75" customHeight="1">
      <c r="A49" s="624" t="s">
        <v>1966</v>
      </c>
      <c r="B49" s="27" t="s">
        <v>27</v>
      </c>
      <c r="C49" s="605" t="s">
        <v>29</v>
      </c>
      <c r="D49" s="606"/>
      <c r="E49" s="27">
        <v>21.13</v>
      </c>
      <c r="F49" s="389">
        <v>5921</v>
      </c>
      <c r="G49" s="382">
        <f>E49*F49</f>
        <v>125110.73</v>
      </c>
      <c r="H49" s="31" t="s">
        <v>40</v>
      </c>
      <c r="I49" s="387">
        <v>10</v>
      </c>
      <c r="J49" s="29">
        <v>3000</v>
      </c>
      <c r="K49" s="12">
        <f t="shared" si="19"/>
        <v>300</v>
      </c>
      <c r="L49" s="387">
        <v>10</v>
      </c>
      <c r="M49" s="13">
        <f>F49/V49*60</f>
        <v>2864.9999999999991</v>
      </c>
      <c r="N49" s="13">
        <f t="shared" si="20"/>
        <v>286.49999999999989</v>
      </c>
      <c r="O49" s="14">
        <f t="shared" si="21"/>
        <v>0</v>
      </c>
      <c r="P49" s="15">
        <f t="shared" si="22"/>
        <v>-13.500000000000114</v>
      </c>
      <c r="Q49" s="383">
        <f t="shared" si="23"/>
        <v>0.95499999999999963</v>
      </c>
      <c r="R49" s="627"/>
      <c r="S49" s="32">
        <v>0.24791666666666667</v>
      </c>
      <c r="T49" s="32">
        <v>0.33402777777777781</v>
      </c>
      <c r="U49" s="382">
        <f>(S49-T48)*24*60</f>
        <v>8.0000000000000107</v>
      </c>
      <c r="V49" s="388">
        <f>(T49-S49)*24*60</f>
        <v>124.00000000000004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24"/>
        <v>-135.00000000000091</v>
      </c>
      <c r="AF49" s="383">
        <f t="shared" si="25"/>
        <v>0.95499999999999974</v>
      </c>
      <c r="AG49" s="627"/>
    </row>
    <row r="50" spans="1:33" ht="15.75" customHeight="1">
      <c r="A50" s="624" t="s">
        <v>75</v>
      </c>
      <c r="B50" s="27" t="s">
        <v>27</v>
      </c>
      <c r="C50" s="605" t="s">
        <v>30</v>
      </c>
      <c r="D50" s="606"/>
      <c r="E50" s="27">
        <v>27.17</v>
      </c>
      <c r="F50" s="389">
        <v>5529</v>
      </c>
      <c r="G50" s="382">
        <f>E50*F50</f>
        <v>150222.93000000002</v>
      </c>
      <c r="H50" s="31" t="s">
        <v>40</v>
      </c>
      <c r="I50" s="387">
        <v>10</v>
      </c>
      <c r="J50" s="29">
        <v>3000</v>
      </c>
      <c r="K50" s="12">
        <f t="shared" si="19"/>
        <v>300</v>
      </c>
      <c r="L50" s="387">
        <v>10</v>
      </c>
      <c r="M50" s="13">
        <f>F50/V50*60</f>
        <v>2859.8275862068972</v>
      </c>
      <c r="N50" s="13">
        <f t="shared" si="20"/>
        <v>285.98275862068971</v>
      </c>
      <c r="O50" s="14">
        <f t="shared" si="21"/>
        <v>0</v>
      </c>
      <c r="P50" s="15">
        <f t="shared" si="22"/>
        <v>-14.017241379310292</v>
      </c>
      <c r="Q50" s="383">
        <f t="shared" si="23"/>
        <v>0.95327586206896564</v>
      </c>
      <c r="R50" s="627"/>
      <c r="S50" s="32">
        <v>0.33958333333333335</v>
      </c>
      <c r="T50" s="32">
        <v>0.4201388888888889</v>
      </c>
      <c r="U50" s="382">
        <f>(S50-T49)*24*60</f>
        <v>7.9999999999999716</v>
      </c>
      <c r="V50" s="388">
        <f>(T50-S50)*24*60</f>
        <v>115.99999999999999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24"/>
        <v>-140.17241379310281</v>
      </c>
      <c r="AF50" s="383">
        <f t="shared" si="25"/>
        <v>0.95327586206896575</v>
      </c>
      <c r="AG50" s="627"/>
    </row>
    <row r="51" spans="1:33" ht="15.75" customHeight="1">
      <c r="A51" s="624" t="s">
        <v>75</v>
      </c>
      <c r="B51" s="27" t="s">
        <v>27</v>
      </c>
      <c r="C51" s="605" t="s">
        <v>35</v>
      </c>
      <c r="D51" s="606"/>
      <c r="E51" s="27">
        <v>35.869999999999997</v>
      </c>
      <c r="F51" s="389">
        <v>2765</v>
      </c>
      <c r="G51" s="382">
        <f>E51*F51</f>
        <v>99180.549999999988</v>
      </c>
      <c r="H51" s="31" t="s">
        <v>40</v>
      </c>
      <c r="I51" s="387">
        <v>9</v>
      </c>
      <c r="J51" s="29">
        <v>3000</v>
      </c>
      <c r="K51" s="12">
        <f t="shared" si="19"/>
        <v>333.33333333333331</v>
      </c>
      <c r="L51" s="387">
        <v>9</v>
      </c>
      <c r="M51" s="13">
        <f>F51/V51*60</f>
        <v>2860.3448275862052</v>
      </c>
      <c r="N51" s="13">
        <f t="shared" si="20"/>
        <v>317.8160919540228</v>
      </c>
      <c r="O51" s="14">
        <f t="shared" si="21"/>
        <v>0</v>
      </c>
      <c r="P51" s="15">
        <f t="shared" si="22"/>
        <v>-15.517241379310519</v>
      </c>
      <c r="Q51" s="383">
        <f t="shared" si="23"/>
        <v>0.95344827586206848</v>
      </c>
      <c r="R51" s="627"/>
      <c r="S51" s="32">
        <v>0.42569444444444443</v>
      </c>
      <c r="T51" s="32">
        <v>0.46597222222222223</v>
      </c>
      <c r="U51" s="382">
        <f>(S51-T50)*24*60</f>
        <v>7.9999999999999716</v>
      </c>
      <c r="V51" s="388">
        <f>(T51-S51)*24*60</f>
        <v>58.000000000000036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24"/>
        <v>-139.65517241379484</v>
      </c>
      <c r="AF51" s="383">
        <f t="shared" si="25"/>
        <v>0.95344827586206837</v>
      </c>
      <c r="AG51" s="627"/>
    </row>
    <row r="52" spans="1:33" ht="15.75" customHeight="1">
      <c r="A52" s="625" t="s">
        <v>75</v>
      </c>
      <c r="B52" s="27" t="s">
        <v>70</v>
      </c>
      <c r="C52" s="609"/>
      <c r="D52" s="610"/>
      <c r="E52" s="380"/>
      <c r="F52" s="389"/>
      <c r="G52" s="382"/>
      <c r="H52" s="389"/>
      <c r="I52" s="21">
        <v>9.75</v>
      </c>
      <c r="J52" s="29">
        <v>3000</v>
      </c>
      <c r="K52" s="12">
        <f t="shared" si="19"/>
        <v>307.69230769230768</v>
      </c>
      <c r="L52" s="21">
        <v>9.75</v>
      </c>
      <c r="M52" s="13">
        <f>AVERAGE(M48:M51)</f>
        <v>2865.3747361013366</v>
      </c>
      <c r="N52" s="12">
        <f t="shared" si="20"/>
        <v>293.88458831808578</v>
      </c>
      <c r="O52" s="14">
        <f t="shared" si="21"/>
        <v>0</v>
      </c>
      <c r="P52" s="15">
        <f t="shared" si="22"/>
        <v>-13.807719374221904</v>
      </c>
      <c r="Q52" s="383">
        <f t="shared" si="23"/>
        <v>0.95512491203377881</v>
      </c>
      <c r="R52" s="628"/>
      <c r="S52" s="32"/>
      <c r="T52" s="32"/>
      <c r="U52" s="382"/>
      <c r="V52" s="388"/>
      <c r="W52" s="16"/>
      <c r="X52" s="16"/>
      <c r="Y52" s="22">
        <f>SUM(Y48:Y51)</f>
        <v>0</v>
      </c>
      <c r="Z52" s="22">
        <f>SUM(Z48:Z51)</f>
        <v>0</v>
      </c>
      <c r="AA52" s="619"/>
      <c r="AB52" s="620"/>
      <c r="AC52" s="22">
        <v>4</v>
      </c>
      <c r="AD52" s="22">
        <f>SUM(AD48:AD51)</f>
        <v>0</v>
      </c>
      <c r="AE52" s="14">
        <f t="shared" si="24"/>
        <v>-134.62526389866343</v>
      </c>
      <c r="AF52" s="383">
        <f t="shared" si="25"/>
        <v>0.95512491203377881</v>
      </c>
      <c r="AG52" s="628"/>
    </row>
    <row r="53" spans="1:33" ht="15.75" customHeight="1">
      <c r="A53" s="621" t="s">
        <v>71</v>
      </c>
      <c r="B53" s="27" t="s">
        <v>5</v>
      </c>
      <c r="C53" s="660" t="s">
        <v>15</v>
      </c>
      <c r="D53" s="660"/>
      <c r="E53" s="27">
        <v>59.04</v>
      </c>
      <c r="F53" s="30">
        <v>2073</v>
      </c>
      <c r="G53" s="382">
        <f t="shared" ref="G53:G60" si="30">E53*F53</f>
        <v>122389.92</v>
      </c>
      <c r="H53" s="31" t="s">
        <v>40</v>
      </c>
      <c r="I53" s="387">
        <v>19</v>
      </c>
      <c r="J53" s="29">
        <v>2000</v>
      </c>
      <c r="K53" s="12">
        <f t="shared" si="19"/>
        <v>105.26315789473684</v>
      </c>
      <c r="L53" s="387">
        <v>19</v>
      </c>
      <c r="M53" s="13">
        <f t="shared" ref="M53:M60" si="31">F53/V53*60</f>
        <v>1913.5384615384623</v>
      </c>
      <c r="N53" s="13">
        <f t="shared" si="20"/>
        <v>100.7125506072875</v>
      </c>
      <c r="O53" s="14">
        <f t="shared" si="21"/>
        <v>0</v>
      </c>
      <c r="P53" s="15">
        <f t="shared" si="22"/>
        <v>-4.5506072874493384</v>
      </c>
      <c r="Q53" s="383">
        <f t="shared" si="23"/>
        <v>0.95676923076923126</v>
      </c>
      <c r="R53" s="616">
        <f>Q61</f>
        <v>0.96156630532022613</v>
      </c>
      <c r="S53" s="32">
        <v>0.20833333333333334</v>
      </c>
      <c r="T53" s="32">
        <v>0.25347222222222221</v>
      </c>
      <c r="U53" s="20"/>
      <c r="V53" s="388">
        <f t="shared" ref="V53:V60" si="32">(T53-S53)*24*60</f>
        <v>64.999999999999972</v>
      </c>
      <c r="W53" s="16"/>
      <c r="X53" s="16"/>
      <c r="Y53" s="20"/>
      <c r="Z53" s="20"/>
      <c r="AA53" s="612"/>
      <c r="AB53" s="612"/>
      <c r="AC53" s="18">
        <v>8</v>
      </c>
      <c r="AD53" s="18"/>
      <c r="AE53" s="14">
        <f t="shared" si="24"/>
        <v>-86.461538461537657</v>
      </c>
      <c r="AF53" s="383">
        <f t="shared" si="25"/>
        <v>0.95676923076923115</v>
      </c>
      <c r="AG53" s="616">
        <f>AF61</f>
        <v>0.96156630532022613</v>
      </c>
    </row>
    <row r="54" spans="1:33" ht="15.75" customHeight="1">
      <c r="A54" s="621" t="s">
        <v>71</v>
      </c>
      <c r="B54" s="27" t="s">
        <v>5</v>
      </c>
      <c r="C54" s="660" t="s">
        <v>31</v>
      </c>
      <c r="D54" s="660"/>
      <c r="E54" s="27">
        <v>56.43</v>
      </c>
      <c r="F54" s="30">
        <v>1389</v>
      </c>
      <c r="G54" s="382">
        <f t="shared" si="30"/>
        <v>78381.27</v>
      </c>
      <c r="H54" s="31" t="s">
        <v>40</v>
      </c>
      <c r="I54" s="387">
        <v>22</v>
      </c>
      <c r="J54" s="29">
        <v>2000</v>
      </c>
      <c r="K54" s="12">
        <f t="shared" si="19"/>
        <v>90.909090909090907</v>
      </c>
      <c r="L54" s="387">
        <v>22</v>
      </c>
      <c r="M54" s="13">
        <f t="shared" si="31"/>
        <v>1938.1395348837207</v>
      </c>
      <c r="N54" s="13">
        <f t="shared" si="20"/>
        <v>88.097251585623667</v>
      </c>
      <c r="O54" s="14">
        <f t="shared" si="21"/>
        <v>0</v>
      </c>
      <c r="P54" s="15">
        <f t="shared" si="22"/>
        <v>-2.8118393234672396</v>
      </c>
      <c r="Q54" s="383">
        <f t="shared" si="23"/>
        <v>0.96906976744186035</v>
      </c>
      <c r="R54" s="616"/>
      <c r="S54" s="32">
        <v>0.2583333333333333</v>
      </c>
      <c r="T54" s="32">
        <v>0.28819444444444442</v>
      </c>
      <c r="U54" s="382">
        <f t="shared" ref="U54:U60" si="33">IF(S54=TIME(17,0,0),"",(S54-T53)*24*60)</f>
        <v>6.9999999999999751</v>
      </c>
      <c r="V54" s="388">
        <f t="shared" si="32"/>
        <v>43.000000000000007</v>
      </c>
      <c r="W54" s="16"/>
      <c r="X54" s="16"/>
      <c r="Y54" s="16"/>
      <c r="Z54" s="16"/>
      <c r="AA54" s="612"/>
      <c r="AB54" s="612"/>
      <c r="AC54" s="18"/>
      <c r="AD54" s="18"/>
      <c r="AE54" s="14">
        <f t="shared" si="24"/>
        <v>-61.860465116279329</v>
      </c>
      <c r="AF54" s="383">
        <f t="shared" si="25"/>
        <v>0.96906976744186035</v>
      </c>
      <c r="AG54" s="616"/>
    </row>
    <row r="55" spans="1:33" ht="15.75" customHeight="1">
      <c r="A55" s="621" t="s">
        <v>71</v>
      </c>
      <c r="B55" s="27" t="s">
        <v>5</v>
      </c>
      <c r="C55" s="605" t="s">
        <v>81</v>
      </c>
      <c r="D55" s="606"/>
      <c r="E55" s="27">
        <v>51.44</v>
      </c>
      <c r="F55" s="30">
        <v>2014</v>
      </c>
      <c r="G55" s="382">
        <f t="shared" si="30"/>
        <v>103600.15999999999</v>
      </c>
      <c r="H55" s="31" t="s">
        <v>40</v>
      </c>
      <c r="I55" s="387">
        <v>25</v>
      </c>
      <c r="J55" s="29">
        <v>2000</v>
      </c>
      <c r="K55" s="12">
        <f t="shared" si="19"/>
        <v>80</v>
      </c>
      <c r="L55" s="387">
        <v>25</v>
      </c>
      <c r="M55" s="13">
        <f t="shared" si="31"/>
        <v>1918.0952380952376</v>
      </c>
      <c r="N55" s="13">
        <f t="shared" si="20"/>
        <v>76.723809523809507</v>
      </c>
      <c r="O55" s="14">
        <f t="shared" si="21"/>
        <v>0</v>
      </c>
      <c r="P55" s="15">
        <f t="shared" si="22"/>
        <v>-3.276190476190493</v>
      </c>
      <c r="Q55" s="383">
        <f t="shared" si="23"/>
        <v>0.95904761904761882</v>
      </c>
      <c r="R55" s="616"/>
      <c r="S55" s="32">
        <v>0.29374999999999996</v>
      </c>
      <c r="T55" s="32">
        <v>0.33749999999999997</v>
      </c>
      <c r="U55" s="382">
        <f t="shared" si="33"/>
        <v>7.9999999999999716</v>
      </c>
      <c r="V55" s="388">
        <f t="shared" si="32"/>
        <v>63.000000000000014</v>
      </c>
      <c r="W55" s="16"/>
      <c r="X55" s="16"/>
      <c r="Y55" s="19"/>
      <c r="Z55" s="19"/>
      <c r="AA55" s="612"/>
      <c r="AB55" s="612"/>
      <c r="AC55" s="18"/>
      <c r="AD55" s="18"/>
      <c r="AE55" s="14">
        <f t="shared" si="24"/>
        <v>-81.904761904762381</v>
      </c>
      <c r="AF55" s="383">
        <f t="shared" si="25"/>
        <v>0.95904761904761882</v>
      </c>
      <c r="AG55" s="616"/>
    </row>
    <row r="56" spans="1:33" ht="15.75" customHeight="1">
      <c r="A56" s="621" t="s">
        <v>71</v>
      </c>
      <c r="B56" s="27" t="s">
        <v>8</v>
      </c>
      <c r="C56" s="376" t="s">
        <v>61</v>
      </c>
      <c r="D56" s="377"/>
      <c r="E56" s="27">
        <v>46</v>
      </c>
      <c r="F56" s="30">
        <v>2045</v>
      </c>
      <c r="G56" s="382">
        <f t="shared" si="30"/>
        <v>94070</v>
      </c>
      <c r="H56" s="31" t="s">
        <v>40</v>
      </c>
      <c r="I56" s="387">
        <v>16</v>
      </c>
      <c r="J56" s="29">
        <v>2000</v>
      </c>
      <c r="K56" s="12">
        <f t="shared" si="19"/>
        <v>125</v>
      </c>
      <c r="L56" s="387">
        <v>16</v>
      </c>
      <c r="M56" s="13">
        <f t="shared" si="31"/>
        <v>1917.1874999999995</v>
      </c>
      <c r="N56" s="13">
        <f t="shared" si="20"/>
        <v>119.82421874999997</v>
      </c>
      <c r="O56" s="14">
        <f t="shared" si="21"/>
        <v>0</v>
      </c>
      <c r="P56" s="15">
        <f t="shared" si="22"/>
        <v>-5.1757812500000284</v>
      </c>
      <c r="Q56" s="383">
        <f t="shared" si="23"/>
        <v>0.9585937499999998</v>
      </c>
      <c r="R56" s="616"/>
      <c r="S56" s="32">
        <v>0.3430555555555555</v>
      </c>
      <c r="T56" s="32">
        <v>0.38749999999999996</v>
      </c>
      <c r="U56" s="382">
        <f t="shared" si="33"/>
        <v>7.9999999999999716</v>
      </c>
      <c r="V56" s="388">
        <f t="shared" si="32"/>
        <v>64.000000000000014</v>
      </c>
      <c r="W56" s="16"/>
      <c r="X56" s="16"/>
      <c r="Y56" s="19"/>
      <c r="Z56" s="19"/>
      <c r="AA56" s="612"/>
      <c r="AB56" s="612"/>
      <c r="AC56" s="18"/>
      <c r="AD56" s="18"/>
      <c r="AE56" s="14">
        <f t="shared" si="24"/>
        <v>-82.812500000000455</v>
      </c>
      <c r="AF56" s="383">
        <f t="shared" si="25"/>
        <v>0.9585937499999998</v>
      </c>
      <c r="AG56" s="616"/>
    </row>
    <row r="57" spans="1:33" ht="15.75" customHeight="1">
      <c r="A57" s="621" t="s">
        <v>71</v>
      </c>
      <c r="B57" s="27" t="s">
        <v>8</v>
      </c>
      <c r="C57" s="376" t="s">
        <v>79</v>
      </c>
      <c r="D57" s="377"/>
      <c r="E57" s="27">
        <v>46</v>
      </c>
      <c r="F57" s="30">
        <v>2342</v>
      </c>
      <c r="G57" s="382">
        <f t="shared" si="30"/>
        <v>107732</v>
      </c>
      <c r="H57" s="31" t="s">
        <v>40</v>
      </c>
      <c r="I57" s="387">
        <v>17</v>
      </c>
      <c r="J57" s="29">
        <v>2000</v>
      </c>
      <c r="K57" s="12">
        <f t="shared" si="19"/>
        <v>117.64705882352941</v>
      </c>
      <c r="L57" s="387">
        <v>17</v>
      </c>
      <c r="M57" s="13">
        <f t="shared" si="31"/>
        <v>1924.9315068493154</v>
      </c>
      <c r="N57" s="13">
        <f t="shared" si="20"/>
        <v>113.23126510878326</v>
      </c>
      <c r="O57" s="14">
        <f t="shared" si="21"/>
        <v>0</v>
      </c>
      <c r="P57" s="15">
        <f t="shared" si="22"/>
        <v>-4.4157937147461439</v>
      </c>
      <c r="Q57" s="383">
        <f t="shared" si="23"/>
        <v>0.96246575342465779</v>
      </c>
      <c r="R57" s="616"/>
      <c r="S57" s="32">
        <v>0.39166666666666661</v>
      </c>
      <c r="T57" s="32">
        <v>0.44236111111111104</v>
      </c>
      <c r="U57" s="382">
        <f t="shared" si="33"/>
        <v>5.9999999999999787</v>
      </c>
      <c r="V57" s="388">
        <f t="shared" si="32"/>
        <v>72.999999999999986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24"/>
        <v>-75.068493150684617</v>
      </c>
      <c r="AF57" s="383">
        <f t="shared" si="25"/>
        <v>0.96246575342465768</v>
      </c>
      <c r="AG57" s="616"/>
    </row>
    <row r="58" spans="1:33" ht="15.75" customHeight="1">
      <c r="A58" s="621" t="s">
        <v>71</v>
      </c>
      <c r="B58" s="27" t="s">
        <v>5</v>
      </c>
      <c r="C58" s="605" t="s">
        <v>77</v>
      </c>
      <c r="D58" s="606"/>
      <c r="E58" s="27">
        <v>54.09</v>
      </c>
      <c r="F58" s="30">
        <v>1264</v>
      </c>
      <c r="G58" s="382">
        <f t="shared" si="30"/>
        <v>68369.760000000009</v>
      </c>
      <c r="H58" s="31" t="s">
        <v>40</v>
      </c>
      <c r="I58" s="387">
        <v>13</v>
      </c>
      <c r="J58" s="29">
        <v>2000</v>
      </c>
      <c r="K58" s="12">
        <f t="shared" si="19"/>
        <v>153.84615384615384</v>
      </c>
      <c r="L58" s="387">
        <v>13</v>
      </c>
      <c r="M58" s="13">
        <f t="shared" si="31"/>
        <v>1944.6153846153836</v>
      </c>
      <c r="N58" s="13">
        <f t="shared" si="20"/>
        <v>149.58579881656797</v>
      </c>
      <c r="O58" s="14">
        <f t="shared" si="21"/>
        <v>0</v>
      </c>
      <c r="P58" s="15">
        <f t="shared" si="22"/>
        <v>-4.2603550295858668</v>
      </c>
      <c r="Q58" s="383">
        <f t="shared" si="23"/>
        <v>0.97230769230769187</v>
      </c>
      <c r="R58" s="616"/>
      <c r="S58" s="32">
        <v>0.70833333333333337</v>
      </c>
      <c r="T58" s="32">
        <v>0.73541666666666672</v>
      </c>
      <c r="U58" s="382" t="str">
        <f t="shared" si="33"/>
        <v/>
      </c>
      <c r="V58" s="388">
        <f t="shared" si="32"/>
        <v>39.000000000000021</v>
      </c>
      <c r="W58" s="16"/>
      <c r="X58" s="16"/>
      <c r="Y58" s="19"/>
      <c r="Z58" s="19"/>
      <c r="AA58" s="607"/>
      <c r="AB58" s="608"/>
      <c r="AC58" s="18"/>
      <c r="AD58" s="18"/>
      <c r="AE58" s="14">
        <f t="shared" si="24"/>
        <v>-55.384615384616382</v>
      </c>
      <c r="AF58" s="383">
        <f t="shared" si="25"/>
        <v>0.97230769230769176</v>
      </c>
      <c r="AG58" s="616"/>
    </row>
    <row r="59" spans="1:33" ht="15.75" customHeight="1">
      <c r="A59" s="621" t="s">
        <v>71</v>
      </c>
      <c r="B59" s="27" t="s">
        <v>5</v>
      </c>
      <c r="C59" s="605" t="s">
        <v>7</v>
      </c>
      <c r="D59" s="606"/>
      <c r="E59" s="27">
        <v>50.67</v>
      </c>
      <c r="F59" s="30">
        <v>1631</v>
      </c>
      <c r="G59" s="382">
        <f t="shared" si="30"/>
        <v>82642.77</v>
      </c>
      <c r="H59" s="31" t="s">
        <v>40</v>
      </c>
      <c r="I59" s="387">
        <v>15</v>
      </c>
      <c r="J59" s="29">
        <v>2000</v>
      </c>
      <c r="K59" s="12">
        <f t="shared" si="19"/>
        <v>133.33333333333334</v>
      </c>
      <c r="L59" s="387">
        <v>15</v>
      </c>
      <c r="M59" s="13">
        <f t="shared" si="31"/>
        <v>1918.8235294117655</v>
      </c>
      <c r="N59" s="13">
        <f t="shared" si="20"/>
        <v>127.92156862745104</v>
      </c>
      <c r="O59" s="14">
        <f t="shared" si="21"/>
        <v>0</v>
      </c>
      <c r="P59" s="15">
        <f t="shared" si="22"/>
        <v>-5.4117647058823053</v>
      </c>
      <c r="Q59" s="383">
        <f t="shared" si="23"/>
        <v>0.95941176470588274</v>
      </c>
      <c r="R59" s="616"/>
      <c r="S59" s="32">
        <v>0.74097222222222225</v>
      </c>
      <c r="T59" s="32">
        <v>0.77638888888888891</v>
      </c>
      <c r="U59" s="382">
        <f t="shared" si="33"/>
        <v>7.9999999999999716</v>
      </c>
      <c r="V59" s="388">
        <f t="shared" si="32"/>
        <v>50.999999999999979</v>
      </c>
      <c r="W59" s="16"/>
      <c r="X59" s="16"/>
      <c r="Y59" s="19"/>
      <c r="Z59" s="19"/>
      <c r="AA59" s="607"/>
      <c r="AB59" s="608"/>
      <c r="AC59" s="18"/>
      <c r="AD59" s="18"/>
      <c r="AE59" s="14">
        <f t="shared" si="24"/>
        <v>-81.176470588234451</v>
      </c>
      <c r="AF59" s="383">
        <f t="shared" si="25"/>
        <v>0.95941176470588274</v>
      </c>
      <c r="AG59" s="616"/>
    </row>
    <row r="60" spans="1:33" ht="15.75" customHeight="1">
      <c r="A60" s="621" t="s">
        <v>71</v>
      </c>
      <c r="B60" s="27" t="s">
        <v>5</v>
      </c>
      <c r="C60" s="605" t="s">
        <v>62</v>
      </c>
      <c r="D60" s="606"/>
      <c r="E60" s="27">
        <v>51.06</v>
      </c>
      <c r="F60" s="30">
        <v>3533</v>
      </c>
      <c r="G60" s="382">
        <f t="shared" si="30"/>
        <v>180394.98</v>
      </c>
      <c r="H60" s="31" t="s">
        <v>40</v>
      </c>
      <c r="I60" s="387">
        <v>13</v>
      </c>
      <c r="J60" s="29">
        <v>2000</v>
      </c>
      <c r="K60" s="12">
        <f t="shared" si="19"/>
        <v>153.84615384615384</v>
      </c>
      <c r="L60" s="387">
        <v>13</v>
      </c>
      <c r="M60" s="13">
        <f t="shared" si="31"/>
        <v>1909.7297297297309</v>
      </c>
      <c r="N60" s="13">
        <f t="shared" si="20"/>
        <v>146.90228690228699</v>
      </c>
      <c r="O60" s="14">
        <f t="shared" si="21"/>
        <v>0</v>
      </c>
      <c r="P60" s="15">
        <f t="shared" si="22"/>
        <v>-6.9438669438668512</v>
      </c>
      <c r="Q60" s="383">
        <f t="shared" si="23"/>
        <v>0.95486486486486544</v>
      </c>
      <c r="R60" s="616"/>
      <c r="S60" s="32">
        <v>0.78055555555555556</v>
      </c>
      <c r="T60" s="32">
        <v>0.85763888888888884</v>
      </c>
      <c r="U60" s="382">
        <f t="shared" si="33"/>
        <v>5.9999999999999787</v>
      </c>
      <c r="V60" s="388">
        <f t="shared" si="32"/>
        <v>110.99999999999993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24"/>
        <v>-90.270270270269066</v>
      </c>
      <c r="AF60" s="383">
        <f t="shared" si="25"/>
        <v>0.95486486486486544</v>
      </c>
      <c r="AG60" s="616"/>
    </row>
    <row r="61" spans="1:33">
      <c r="A61" s="622" t="s">
        <v>71</v>
      </c>
      <c r="B61" s="27" t="s">
        <v>70</v>
      </c>
      <c r="C61" s="658"/>
      <c r="D61" s="658"/>
      <c r="E61" s="384"/>
      <c r="F61" s="28"/>
      <c r="G61" s="12"/>
      <c r="H61" s="389"/>
      <c r="I61" s="21">
        <v>17.5</v>
      </c>
      <c r="J61" s="29">
        <v>2000</v>
      </c>
      <c r="K61" s="12">
        <f t="shared" si="19"/>
        <v>114.28571428571429</v>
      </c>
      <c r="L61" s="21">
        <v>17.5</v>
      </c>
      <c r="M61" s="13">
        <f>AVERAGE(M53:M60)</f>
        <v>1923.1326106404522</v>
      </c>
      <c r="N61" s="12">
        <f t="shared" si="20"/>
        <v>109.89329203659727</v>
      </c>
      <c r="O61" s="14">
        <f t="shared" si="21"/>
        <v>0</v>
      </c>
      <c r="P61" s="15">
        <f t="shared" si="22"/>
        <v>-4.3924222491170184</v>
      </c>
      <c r="Q61" s="383">
        <f t="shared" si="23"/>
        <v>0.96156630532022613</v>
      </c>
      <c r="R61" s="616"/>
      <c r="S61" s="32"/>
      <c r="T61" s="32"/>
      <c r="U61" s="382"/>
      <c r="V61" s="388"/>
      <c r="W61" s="12"/>
      <c r="X61" s="12"/>
      <c r="Y61" s="22">
        <f>SUM(Y53:Y60)</f>
        <v>0</v>
      </c>
      <c r="Z61" s="22">
        <f>SUM(Z53:Z60)</f>
        <v>0</v>
      </c>
      <c r="AA61" s="611"/>
      <c r="AB61" s="611"/>
      <c r="AC61" s="22">
        <v>8</v>
      </c>
      <c r="AD61" s="22">
        <f>SUM(AD53:AD60)</f>
        <v>0</v>
      </c>
      <c r="AE61" s="14">
        <f t="shared" si="24"/>
        <v>-76.867389359547815</v>
      </c>
      <c r="AF61" s="383">
        <f t="shared" si="25"/>
        <v>0.96156630532022613</v>
      </c>
      <c r="AG61" s="616"/>
    </row>
    <row r="62" spans="1:33" ht="15.75" customHeight="1">
      <c r="A62" s="617" t="s">
        <v>72</v>
      </c>
      <c r="B62" s="389" t="s">
        <v>27</v>
      </c>
      <c r="C62" s="660" t="s">
        <v>28</v>
      </c>
      <c r="D62" s="660"/>
      <c r="E62" s="27">
        <v>35.119999999999997</v>
      </c>
      <c r="F62" s="30">
        <v>5009</v>
      </c>
      <c r="G62" s="382">
        <f>E62*F62</f>
        <v>175916.08</v>
      </c>
      <c r="H62" s="31" t="s">
        <v>40</v>
      </c>
      <c r="I62" s="387">
        <v>10</v>
      </c>
      <c r="J62" s="29">
        <v>3000</v>
      </c>
      <c r="K62" s="12">
        <f t="shared" si="19"/>
        <v>300</v>
      </c>
      <c r="L62" s="387">
        <v>10</v>
      </c>
      <c r="M62" s="13">
        <f>F62/V62*60</f>
        <v>2862.2857142857147</v>
      </c>
      <c r="N62" s="12">
        <f t="shared" si="20"/>
        <v>286.22857142857146</v>
      </c>
      <c r="O62" s="14">
        <f t="shared" si="21"/>
        <v>0</v>
      </c>
      <c r="P62" s="15">
        <f t="shared" si="22"/>
        <v>-13.771428571428544</v>
      </c>
      <c r="Q62" s="383">
        <f t="shared" si="23"/>
        <v>0.95409523809523822</v>
      </c>
      <c r="R62" s="616">
        <f>Q66</f>
        <v>0.96798385180710789</v>
      </c>
      <c r="S62" s="32">
        <v>0.20833333333333334</v>
      </c>
      <c r="T62" s="32">
        <v>0.28125</v>
      </c>
      <c r="U62" s="382"/>
      <c r="V62" s="388">
        <f>(T62-S62)*24*60</f>
        <v>104.99999999999999</v>
      </c>
      <c r="W62" s="16"/>
      <c r="X62" s="16"/>
      <c r="Y62" s="20"/>
      <c r="Z62" s="20"/>
      <c r="AA62" s="612"/>
      <c r="AB62" s="612"/>
      <c r="AC62" s="18">
        <v>4</v>
      </c>
      <c r="AD62" s="18"/>
      <c r="AE62" s="14">
        <f t="shared" si="24"/>
        <v>-137.71428571428532</v>
      </c>
      <c r="AF62" s="383">
        <f t="shared" si="25"/>
        <v>0.95409523809523822</v>
      </c>
      <c r="AG62" s="616">
        <f>AF66</f>
        <v>0.96798385180710789</v>
      </c>
    </row>
    <row r="63" spans="1:33" ht="15.75" customHeight="1">
      <c r="A63" s="617" t="s">
        <v>72</v>
      </c>
      <c r="B63" s="389" t="s">
        <v>27</v>
      </c>
      <c r="C63" s="660" t="s">
        <v>34</v>
      </c>
      <c r="D63" s="660"/>
      <c r="E63" s="27">
        <v>26.78</v>
      </c>
      <c r="F63" s="30">
        <v>2660</v>
      </c>
      <c r="G63" s="382">
        <f>E63*F63</f>
        <v>71234.8</v>
      </c>
      <c r="H63" s="31" t="s">
        <v>40</v>
      </c>
      <c r="I63" s="387">
        <v>10</v>
      </c>
      <c r="J63" s="29">
        <v>3000</v>
      </c>
      <c r="K63" s="12">
        <f t="shared" si="19"/>
        <v>300</v>
      </c>
      <c r="L63" s="387">
        <v>10</v>
      </c>
      <c r="M63" s="13">
        <f>F63/V63*60</f>
        <v>2901.8181818181838</v>
      </c>
      <c r="N63" s="12">
        <f t="shared" si="20"/>
        <v>290.18181818181836</v>
      </c>
      <c r="O63" s="14">
        <f t="shared" si="21"/>
        <v>0</v>
      </c>
      <c r="P63" s="15">
        <f t="shared" si="22"/>
        <v>-9.8181818181816425</v>
      </c>
      <c r="Q63" s="383">
        <f t="shared" si="23"/>
        <v>0.96727272727272784</v>
      </c>
      <c r="R63" s="616"/>
      <c r="S63" s="32">
        <v>0.28680555555555554</v>
      </c>
      <c r="T63" s="32">
        <v>0.32499999999999996</v>
      </c>
      <c r="U63" s="382">
        <f>(S63-T62)*24*60</f>
        <v>7.9999999999999716</v>
      </c>
      <c r="V63" s="388">
        <f>(T63-S63)*24*60</f>
        <v>54.999999999999964</v>
      </c>
      <c r="W63" s="382"/>
      <c r="X63" s="382"/>
      <c r="Y63" s="382"/>
      <c r="Z63" s="382"/>
      <c r="AA63" s="612"/>
      <c r="AB63" s="612"/>
      <c r="AC63" s="18"/>
      <c r="AD63" s="18"/>
      <c r="AE63" s="14">
        <f t="shared" si="24"/>
        <v>-98.181818181816197</v>
      </c>
      <c r="AF63" s="383">
        <f t="shared" si="25"/>
        <v>0.96727272727272795</v>
      </c>
      <c r="AG63" s="616"/>
    </row>
    <row r="64" spans="1:33" ht="15.75" customHeight="1">
      <c r="A64" s="617" t="s">
        <v>72</v>
      </c>
      <c r="B64" s="389" t="s">
        <v>27</v>
      </c>
      <c r="C64" s="660" t="s">
        <v>36</v>
      </c>
      <c r="D64" s="660"/>
      <c r="E64" s="27">
        <v>34.35</v>
      </c>
      <c r="F64" s="30">
        <v>1226</v>
      </c>
      <c r="G64" s="382">
        <f>E64*F64</f>
        <v>42113.1</v>
      </c>
      <c r="H64" s="31" t="s">
        <v>40</v>
      </c>
      <c r="I64" s="387">
        <v>8</v>
      </c>
      <c r="J64" s="29">
        <v>3000</v>
      </c>
      <c r="K64" s="12">
        <f t="shared" si="19"/>
        <v>375</v>
      </c>
      <c r="L64" s="387">
        <v>8</v>
      </c>
      <c r="M64" s="13">
        <f>F64/V64*60</f>
        <v>2942.400000000001</v>
      </c>
      <c r="N64" s="12">
        <f t="shared" si="20"/>
        <v>367.80000000000013</v>
      </c>
      <c r="O64" s="14">
        <f t="shared" si="21"/>
        <v>0</v>
      </c>
      <c r="P64" s="15">
        <f t="shared" si="22"/>
        <v>-7.1999999999998749</v>
      </c>
      <c r="Q64" s="383">
        <f t="shared" si="23"/>
        <v>0.98080000000000034</v>
      </c>
      <c r="R64" s="616"/>
      <c r="S64" s="32">
        <v>0.33055555555555549</v>
      </c>
      <c r="T64" s="32">
        <v>0.3479166666666666</v>
      </c>
      <c r="U64" s="382">
        <f>(S64-T63)*24*60</f>
        <v>7.9999999999999716</v>
      </c>
      <c r="V64" s="388">
        <f>(T64-S64)*24*60</f>
        <v>24.999999999999993</v>
      </c>
      <c r="W64" s="382"/>
      <c r="X64" s="382"/>
      <c r="Y64" s="382"/>
      <c r="Z64" s="382"/>
      <c r="AA64" s="612"/>
      <c r="AB64" s="612"/>
      <c r="AC64" s="18"/>
      <c r="AD64" s="18"/>
      <c r="AE64" s="14">
        <f t="shared" si="24"/>
        <v>-57.599999999999</v>
      </c>
      <c r="AF64" s="383">
        <f t="shared" si="25"/>
        <v>0.98080000000000034</v>
      </c>
      <c r="AG64" s="616"/>
    </row>
    <row r="65" spans="1:33" ht="15.75" customHeight="1">
      <c r="A65" s="617" t="s">
        <v>72</v>
      </c>
      <c r="B65" s="389" t="s">
        <v>27</v>
      </c>
      <c r="C65" s="660" t="s">
        <v>737</v>
      </c>
      <c r="D65" s="660"/>
      <c r="E65" s="27">
        <v>36.14</v>
      </c>
      <c r="F65" s="30">
        <v>2085</v>
      </c>
      <c r="G65" s="382">
        <f>E65*F65</f>
        <v>75351.899999999994</v>
      </c>
      <c r="H65" s="31" t="s">
        <v>40</v>
      </c>
      <c r="I65" s="387">
        <v>11</v>
      </c>
      <c r="J65" s="29">
        <v>3000</v>
      </c>
      <c r="K65" s="12">
        <f t="shared" si="19"/>
        <v>272.72727272727275</v>
      </c>
      <c r="L65" s="387">
        <v>11</v>
      </c>
      <c r="M65" s="13">
        <f>F65/V65*60</f>
        <v>2909.3023255813951</v>
      </c>
      <c r="N65" s="12">
        <f t="shared" si="20"/>
        <v>264.48202959830866</v>
      </c>
      <c r="O65" s="14">
        <f t="shared" si="21"/>
        <v>0</v>
      </c>
      <c r="P65" s="15">
        <f t="shared" si="22"/>
        <v>-8.2452431289640913</v>
      </c>
      <c r="Q65" s="383">
        <f t="shared" si="23"/>
        <v>0.96976744186046504</v>
      </c>
      <c r="R65" s="616"/>
      <c r="S65" s="32">
        <v>0.35277777777777769</v>
      </c>
      <c r="T65" s="32">
        <v>0.38263888888888881</v>
      </c>
      <c r="U65" s="382">
        <f>(S65-T64)*24*60</f>
        <v>6.9999999999999751</v>
      </c>
      <c r="V65" s="388">
        <f>(T65-S65)*24*60</f>
        <v>43.000000000000007</v>
      </c>
      <c r="W65" s="382"/>
      <c r="X65" s="382"/>
      <c r="Y65" s="382"/>
      <c r="Z65" s="382"/>
      <c r="AA65" s="612"/>
      <c r="AB65" s="612"/>
      <c r="AC65" s="18"/>
      <c r="AD65" s="18"/>
      <c r="AE65" s="14">
        <f t="shared" si="24"/>
        <v>-90.697674418604947</v>
      </c>
      <c r="AF65" s="383">
        <f t="shared" si="25"/>
        <v>0.96976744186046504</v>
      </c>
      <c r="AG65" s="616"/>
    </row>
    <row r="66" spans="1:33">
      <c r="A66" s="618" t="s">
        <v>72</v>
      </c>
      <c r="B66" s="27" t="s">
        <v>70</v>
      </c>
      <c r="C66" s="658"/>
      <c r="D66" s="658"/>
      <c r="E66" s="384"/>
      <c r="F66" s="28"/>
      <c r="G66" s="12"/>
      <c r="H66" s="389"/>
      <c r="I66" s="21">
        <v>9.75</v>
      </c>
      <c r="J66" s="29">
        <v>3000</v>
      </c>
      <c r="K66" s="12">
        <f t="shared" si="19"/>
        <v>307.69230769230768</v>
      </c>
      <c r="L66" s="21">
        <v>9.75</v>
      </c>
      <c r="M66" s="13">
        <f>AVERAGE(M62:M65)</f>
        <v>2903.9515554213235</v>
      </c>
      <c r="N66" s="12">
        <f t="shared" si="20"/>
        <v>297.84118517141781</v>
      </c>
      <c r="O66" s="14">
        <f t="shared" si="21"/>
        <v>0</v>
      </c>
      <c r="P66" s="15">
        <f t="shared" si="22"/>
        <v>-9.8511225208898736</v>
      </c>
      <c r="Q66" s="383">
        <f t="shared" si="23"/>
        <v>0.96798385180710789</v>
      </c>
      <c r="R66" s="616"/>
      <c r="S66" s="32"/>
      <c r="T66" s="32"/>
      <c r="U66" s="12"/>
      <c r="V66" s="388"/>
      <c r="W66" s="12"/>
      <c r="X66" s="12"/>
      <c r="Y66" s="22">
        <f>SUM(Y62:Y65)</f>
        <v>0</v>
      </c>
      <c r="Z66" s="22">
        <f>SUM(Z62:Z65)</f>
        <v>0</v>
      </c>
      <c r="AA66" s="611"/>
      <c r="AB66" s="611"/>
      <c r="AC66" s="22">
        <v>4</v>
      </c>
      <c r="AD66" s="22">
        <f>SUM(AD62:AD65)</f>
        <v>0</v>
      </c>
      <c r="AE66" s="14">
        <f t="shared" si="24"/>
        <v>-96.048444578676481</v>
      </c>
      <c r="AF66" s="383">
        <f t="shared" si="25"/>
        <v>0.96798385180710789</v>
      </c>
      <c r="AG66" s="616"/>
    </row>
    <row r="67" spans="1:33" ht="15.75" customHeight="1">
      <c r="A67" s="613" t="s">
        <v>73</v>
      </c>
      <c r="B67" s="389" t="s">
        <v>20</v>
      </c>
      <c r="C67" s="660" t="s">
        <v>39</v>
      </c>
      <c r="D67" s="660"/>
      <c r="E67" s="27">
        <v>19.02</v>
      </c>
      <c r="F67" s="389">
        <v>5800</v>
      </c>
      <c r="G67" s="382">
        <f t="shared" ref="G67:G73" si="34">E67*F67</f>
        <v>110316</v>
      </c>
      <c r="H67" s="31">
        <v>2</v>
      </c>
      <c r="I67" s="387">
        <v>14</v>
      </c>
      <c r="J67" s="29">
        <v>2400</v>
      </c>
      <c r="K67" s="12">
        <f t="shared" si="19"/>
        <v>171.42857142857142</v>
      </c>
      <c r="L67" s="387">
        <v>14</v>
      </c>
      <c r="M67" s="13">
        <f t="shared" ref="M67:M73" si="35">F67/V67*60</f>
        <v>2289.4736842105262</v>
      </c>
      <c r="N67" s="12">
        <f t="shared" si="20"/>
        <v>163.53383458646616</v>
      </c>
      <c r="O67" s="14">
        <f t="shared" si="21"/>
        <v>0</v>
      </c>
      <c r="P67" s="15">
        <f t="shared" si="22"/>
        <v>-7.8947368421052602</v>
      </c>
      <c r="Q67" s="383">
        <f t="shared" si="23"/>
        <v>0.95394736842105265</v>
      </c>
      <c r="R67" s="616">
        <f>Q74</f>
        <v>0.95492799705733278</v>
      </c>
      <c r="S67" s="32">
        <v>8.3333333333333329E-2</v>
      </c>
      <c r="T67" s="32">
        <v>0.18888888888888888</v>
      </c>
      <c r="U67" s="20"/>
      <c r="V67" s="388">
        <f t="shared" ref="V67:V73" si="36">(T67-S67)*24*60</f>
        <v>152</v>
      </c>
      <c r="W67" s="16">
        <f>T67</f>
        <v>0.18888888888888888</v>
      </c>
      <c r="X67" s="16">
        <f>S68</f>
        <v>0.20833333333333334</v>
      </c>
      <c r="Y67" s="16"/>
      <c r="Z67" s="16"/>
      <c r="AA67" s="612"/>
      <c r="AB67" s="612"/>
      <c r="AC67" s="18">
        <v>7</v>
      </c>
      <c r="AD67" s="18"/>
      <c r="AE67" s="14">
        <f t="shared" si="24"/>
        <v>-110.52631578947376</v>
      </c>
      <c r="AF67" s="383">
        <f t="shared" si="25"/>
        <v>0.95394736842105265</v>
      </c>
      <c r="AG67" s="616">
        <f>AF74</f>
        <v>0.95492799705733278</v>
      </c>
    </row>
    <row r="68" spans="1:33" ht="15.75" customHeight="1">
      <c r="A68" s="614" t="s">
        <v>73</v>
      </c>
      <c r="B68" s="389" t="s">
        <v>20</v>
      </c>
      <c r="C68" s="660" t="s">
        <v>24</v>
      </c>
      <c r="D68" s="660"/>
      <c r="E68" s="27">
        <v>20.36</v>
      </c>
      <c r="F68" s="389">
        <v>4542</v>
      </c>
      <c r="G68" s="382">
        <f t="shared" si="34"/>
        <v>92475.12</v>
      </c>
      <c r="H68" s="31" t="s">
        <v>40</v>
      </c>
      <c r="I68" s="387">
        <v>17</v>
      </c>
      <c r="J68" s="29">
        <v>2400</v>
      </c>
      <c r="K68" s="12">
        <f t="shared" si="19"/>
        <v>141.1764705882353</v>
      </c>
      <c r="L68" s="387">
        <v>17</v>
      </c>
      <c r="M68" s="13">
        <f t="shared" si="35"/>
        <v>2290.0840336134447</v>
      </c>
      <c r="N68" s="12">
        <f t="shared" si="20"/>
        <v>134.71082550667322</v>
      </c>
      <c r="O68" s="14">
        <f t="shared" si="21"/>
        <v>0</v>
      </c>
      <c r="P68" s="15">
        <f t="shared" si="22"/>
        <v>-6.4656450815620872</v>
      </c>
      <c r="Q68" s="383">
        <f t="shared" si="23"/>
        <v>0.95420168067226852</v>
      </c>
      <c r="R68" s="616"/>
      <c r="S68" s="32">
        <v>0.20833333333333334</v>
      </c>
      <c r="T68" s="32">
        <v>0.29097222222222224</v>
      </c>
      <c r="U68" s="382">
        <f t="shared" ref="U68:U73" si="37">(S68-T67)*24*60</f>
        <v>28.000000000000021</v>
      </c>
      <c r="V68" s="388">
        <f t="shared" si="36"/>
        <v>119.00000000000001</v>
      </c>
      <c r="W68" s="16"/>
      <c r="X68" s="16"/>
      <c r="Y68" s="16"/>
      <c r="Z68" s="16"/>
      <c r="AA68" s="612"/>
      <c r="AB68" s="612"/>
      <c r="AC68" s="18"/>
      <c r="AD68" s="18"/>
      <c r="AE68" s="14">
        <f t="shared" si="24"/>
        <v>-109.91596638655528</v>
      </c>
      <c r="AF68" s="383">
        <f t="shared" si="25"/>
        <v>0.95420168067226863</v>
      </c>
      <c r="AG68" s="616"/>
    </row>
    <row r="69" spans="1:33" ht="15.75" customHeight="1">
      <c r="A69" s="614" t="s">
        <v>1965</v>
      </c>
      <c r="B69" s="389" t="s">
        <v>20</v>
      </c>
      <c r="C69" s="660" t="s">
        <v>80</v>
      </c>
      <c r="D69" s="660"/>
      <c r="E69" s="27">
        <v>25.98</v>
      </c>
      <c r="F69" s="389">
        <v>3482</v>
      </c>
      <c r="G69" s="382">
        <f t="shared" si="34"/>
        <v>90462.36</v>
      </c>
      <c r="H69" s="31" t="s">
        <v>40</v>
      </c>
      <c r="I69" s="387">
        <v>17</v>
      </c>
      <c r="J69" s="29">
        <v>2400</v>
      </c>
      <c r="K69" s="12">
        <f t="shared" ref="K69:K74" si="38">J69/I69</f>
        <v>141.1764705882353</v>
      </c>
      <c r="L69" s="387">
        <v>17</v>
      </c>
      <c r="M69" s="13">
        <f t="shared" si="35"/>
        <v>2295.8241758241757</v>
      </c>
      <c r="N69" s="12">
        <f t="shared" ref="N69:N74" si="39">M69/L69</f>
        <v>135.04848093083388</v>
      </c>
      <c r="O69" s="14">
        <f t="shared" ref="O69:O74" si="40">L69-I69</f>
        <v>0</v>
      </c>
      <c r="P69" s="15">
        <f t="shared" ref="P69:P74" si="41">N69-K69</f>
        <v>-6.1279896574014288</v>
      </c>
      <c r="Q69" s="383">
        <f t="shared" ref="Q69:Q74" si="42">N69/K69</f>
        <v>0.95659340659340653</v>
      </c>
      <c r="R69" s="616"/>
      <c r="S69" s="32">
        <v>0.29444444444444445</v>
      </c>
      <c r="T69" s="32">
        <v>0.3576388888888889</v>
      </c>
      <c r="U69" s="382">
        <f t="shared" si="37"/>
        <v>4.9999999999999822</v>
      </c>
      <c r="V69" s="388">
        <f t="shared" si="36"/>
        <v>91</v>
      </c>
      <c r="W69" s="16"/>
      <c r="X69" s="16"/>
      <c r="Y69" s="16"/>
      <c r="Z69" s="16"/>
      <c r="AA69" s="612"/>
      <c r="AB69" s="612"/>
      <c r="AC69" s="18"/>
      <c r="AD69" s="18"/>
      <c r="AE69" s="14">
        <f t="shared" ref="AE69:AE74" si="43">M69-J69</f>
        <v>-104.17582417582435</v>
      </c>
      <c r="AF69" s="383">
        <f t="shared" ref="AF69:AF74" si="44">M69/J69</f>
        <v>0.95659340659340653</v>
      </c>
      <c r="AG69" s="616"/>
    </row>
    <row r="70" spans="1:33" ht="15.75" customHeight="1">
      <c r="A70" s="614" t="s">
        <v>1965</v>
      </c>
      <c r="B70" s="389" t="s">
        <v>20</v>
      </c>
      <c r="C70" s="660" t="s">
        <v>739</v>
      </c>
      <c r="D70" s="660"/>
      <c r="E70" s="27">
        <v>28.29</v>
      </c>
      <c r="F70" s="389">
        <v>4512</v>
      </c>
      <c r="G70" s="382">
        <f t="shared" si="34"/>
        <v>127644.48</v>
      </c>
      <c r="H70" s="31" t="s">
        <v>40</v>
      </c>
      <c r="I70" s="387">
        <v>21</v>
      </c>
      <c r="J70" s="29">
        <v>2400</v>
      </c>
      <c r="K70" s="12">
        <f t="shared" si="38"/>
        <v>114.28571428571429</v>
      </c>
      <c r="L70" s="387">
        <v>21</v>
      </c>
      <c r="M70" s="13">
        <f t="shared" si="35"/>
        <v>2294.2372881355936</v>
      </c>
      <c r="N70" s="12">
        <f t="shared" si="39"/>
        <v>109.2493946731235</v>
      </c>
      <c r="O70" s="14">
        <f t="shared" si="40"/>
        <v>0</v>
      </c>
      <c r="P70" s="15">
        <f t="shared" si="41"/>
        <v>-5.0363196125907876</v>
      </c>
      <c r="Q70" s="383">
        <f t="shared" si="42"/>
        <v>0.95593220338983065</v>
      </c>
      <c r="R70" s="616"/>
      <c r="S70" s="32">
        <v>0.3611111111111111</v>
      </c>
      <c r="T70" s="32">
        <v>0.44305555555555554</v>
      </c>
      <c r="U70" s="382">
        <f t="shared" si="37"/>
        <v>4.9999999999999822</v>
      </c>
      <c r="V70" s="388">
        <f t="shared" si="36"/>
        <v>117.99999999999999</v>
      </c>
      <c r="W70" s="16"/>
      <c r="X70" s="16"/>
      <c r="Y70" s="16"/>
      <c r="Z70" s="16"/>
      <c r="AA70" s="612"/>
      <c r="AB70" s="612"/>
      <c r="AC70" s="18"/>
      <c r="AD70" s="18"/>
      <c r="AE70" s="14">
        <f t="shared" si="43"/>
        <v>-105.76271186440636</v>
      </c>
      <c r="AF70" s="383">
        <f t="shared" si="44"/>
        <v>0.95593220338983065</v>
      </c>
      <c r="AG70" s="616"/>
    </row>
    <row r="71" spans="1:33" ht="15.75" customHeight="1">
      <c r="A71" s="614" t="s">
        <v>73</v>
      </c>
      <c r="B71" s="389" t="s">
        <v>20</v>
      </c>
      <c r="C71" s="660" t="s">
        <v>1420</v>
      </c>
      <c r="D71" s="660"/>
      <c r="E71" s="27">
        <v>24.25</v>
      </c>
      <c r="F71" s="389">
        <v>3000</v>
      </c>
      <c r="G71" s="382">
        <f t="shared" si="34"/>
        <v>72750</v>
      </c>
      <c r="H71" s="31">
        <v>2</v>
      </c>
      <c r="I71" s="387">
        <v>17</v>
      </c>
      <c r="J71" s="29">
        <v>2400</v>
      </c>
      <c r="K71" s="12">
        <f t="shared" si="38"/>
        <v>141.1764705882353</v>
      </c>
      <c r="L71" s="387">
        <v>17</v>
      </c>
      <c r="M71" s="13">
        <f t="shared" si="35"/>
        <v>2307.6923076923063</v>
      </c>
      <c r="N71" s="12">
        <f t="shared" si="39"/>
        <v>135.74660633484154</v>
      </c>
      <c r="O71" s="14">
        <f t="shared" si="40"/>
        <v>0</v>
      </c>
      <c r="P71" s="15">
        <f t="shared" si="41"/>
        <v>-5.4298642533937596</v>
      </c>
      <c r="Q71" s="383">
        <f t="shared" si="42"/>
        <v>0.9615384615384609</v>
      </c>
      <c r="R71" s="616"/>
      <c r="S71" s="32">
        <v>0.44791666666666663</v>
      </c>
      <c r="T71" s="32">
        <v>0.50208333333333333</v>
      </c>
      <c r="U71" s="382">
        <f t="shared" si="37"/>
        <v>6.9999999999999751</v>
      </c>
      <c r="V71" s="388">
        <f t="shared" si="36"/>
        <v>78.000000000000043</v>
      </c>
      <c r="W71" s="16">
        <f>T71</f>
        <v>0.50208333333333333</v>
      </c>
      <c r="X71" s="16">
        <f>S72</f>
        <v>0.54027777777777775</v>
      </c>
      <c r="Y71" s="16"/>
      <c r="Z71" s="16"/>
      <c r="AA71" s="612"/>
      <c r="AB71" s="612"/>
      <c r="AC71" s="18"/>
      <c r="AD71" s="18"/>
      <c r="AE71" s="14">
        <f t="shared" si="43"/>
        <v>-92.307692307693742</v>
      </c>
      <c r="AF71" s="383">
        <f t="shared" si="44"/>
        <v>0.9615384615384609</v>
      </c>
      <c r="AG71" s="616"/>
    </row>
    <row r="72" spans="1:33" ht="15.75" customHeight="1">
      <c r="A72" s="614" t="s">
        <v>73</v>
      </c>
      <c r="B72" s="389" t="s">
        <v>20</v>
      </c>
      <c r="C72" s="660" t="s">
        <v>39</v>
      </c>
      <c r="D72" s="660"/>
      <c r="E72" s="27">
        <v>19.02</v>
      </c>
      <c r="F72" s="389">
        <v>4645</v>
      </c>
      <c r="G72" s="382">
        <f t="shared" si="34"/>
        <v>88347.9</v>
      </c>
      <c r="H72" s="31" t="s">
        <v>40</v>
      </c>
      <c r="I72" s="387">
        <v>14</v>
      </c>
      <c r="J72" s="29">
        <v>2400</v>
      </c>
      <c r="K72" s="12">
        <f t="shared" si="38"/>
        <v>171.42857142857142</v>
      </c>
      <c r="L72" s="387">
        <v>14</v>
      </c>
      <c r="M72" s="13">
        <f t="shared" si="35"/>
        <v>2284.4262295081958</v>
      </c>
      <c r="N72" s="12">
        <f t="shared" si="39"/>
        <v>163.17330210772826</v>
      </c>
      <c r="O72" s="14">
        <f t="shared" si="40"/>
        <v>0</v>
      </c>
      <c r="P72" s="15">
        <f t="shared" si="41"/>
        <v>-8.2552693208431549</v>
      </c>
      <c r="Q72" s="383">
        <f t="shared" si="42"/>
        <v>0.95184426229508157</v>
      </c>
      <c r="R72" s="616"/>
      <c r="S72" s="32">
        <v>0.54027777777777775</v>
      </c>
      <c r="T72" s="32">
        <v>0.625</v>
      </c>
      <c r="U72" s="382">
        <f t="shared" si="37"/>
        <v>54.999999999999964</v>
      </c>
      <c r="V72" s="388">
        <f t="shared" si="36"/>
        <v>122.00000000000004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-115.57377049180423</v>
      </c>
      <c r="AF72" s="383">
        <f t="shared" si="44"/>
        <v>0.95184426229508157</v>
      </c>
      <c r="AG72" s="616"/>
    </row>
    <row r="73" spans="1:33" ht="15.75" customHeight="1">
      <c r="A73" s="614" t="s">
        <v>1964</v>
      </c>
      <c r="B73" s="389" t="s">
        <v>20</v>
      </c>
      <c r="C73" s="605" t="s">
        <v>1420</v>
      </c>
      <c r="D73" s="606"/>
      <c r="E73" s="27">
        <v>24.25</v>
      </c>
      <c r="F73" s="389">
        <v>2167</v>
      </c>
      <c r="G73" s="382">
        <f t="shared" si="34"/>
        <v>52549.75</v>
      </c>
      <c r="H73" s="31" t="s">
        <v>40</v>
      </c>
      <c r="I73" s="387">
        <v>17</v>
      </c>
      <c r="J73" s="29">
        <v>2400</v>
      </c>
      <c r="K73" s="12">
        <f t="shared" si="38"/>
        <v>141.1764705882353</v>
      </c>
      <c r="L73" s="387">
        <v>17</v>
      </c>
      <c r="M73" s="13">
        <f t="shared" si="35"/>
        <v>2281.0526315789493</v>
      </c>
      <c r="N73" s="12">
        <f t="shared" si="39"/>
        <v>134.1795665634676</v>
      </c>
      <c r="O73" s="14">
        <f t="shared" si="40"/>
        <v>0</v>
      </c>
      <c r="P73" s="15">
        <f t="shared" si="41"/>
        <v>-6.9969040247677015</v>
      </c>
      <c r="Q73" s="383">
        <f t="shared" si="42"/>
        <v>0.95043859649122875</v>
      </c>
      <c r="R73" s="616"/>
      <c r="S73" s="32">
        <v>0.62847222222222221</v>
      </c>
      <c r="T73" s="32">
        <v>0.66805555555555551</v>
      </c>
      <c r="U73" s="382">
        <f t="shared" si="37"/>
        <v>4.9999999999999822</v>
      </c>
      <c r="V73" s="388">
        <f t="shared" si="36"/>
        <v>56.999999999999957</v>
      </c>
      <c r="W73" s="16"/>
      <c r="X73" s="16"/>
      <c r="Y73" s="19"/>
      <c r="Z73" s="19"/>
      <c r="AA73" s="607"/>
      <c r="AB73" s="608"/>
      <c r="AC73" s="18"/>
      <c r="AD73" s="18"/>
      <c r="AE73" s="14">
        <f t="shared" si="43"/>
        <v>-118.94736842105067</v>
      </c>
      <c r="AF73" s="383">
        <f t="shared" si="44"/>
        <v>0.95043859649122886</v>
      </c>
      <c r="AG73" s="616"/>
    </row>
    <row r="74" spans="1:33" ht="16.5" customHeight="1">
      <c r="A74" s="615" t="s">
        <v>1964</v>
      </c>
      <c r="B74" s="27" t="s">
        <v>1963</v>
      </c>
      <c r="C74" s="609"/>
      <c r="D74" s="610"/>
      <c r="E74" s="384"/>
      <c r="F74" s="28"/>
      <c r="G74" s="12"/>
      <c r="H74" s="389"/>
      <c r="I74" s="21">
        <v>16.714285714285715</v>
      </c>
      <c r="J74" s="29">
        <v>2400</v>
      </c>
      <c r="K74" s="12">
        <f t="shared" si="38"/>
        <v>143.58974358974359</v>
      </c>
      <c r="L74" s="21">
        <v>16.714285714285715</v>
      </c>
      <c r="M74" s="13">
        <f>AVERAGE(M67:M73)</f>
        <v>2291.8271929375987</v>
      </c>
      <c r="N74" s="12">
        <f t="shared" si="39"/>
        <v>137.11786624412983</v>
      </c>
      <c r="O74" s="14">
        <f t="shared" si="40"/>
        <v>0</v>
      </c>
      <c r="P74" s="15">
        <f t="shared" si="41"/>
        <v>-6.4718773456137626</v>
      </c>
      <c r="Q74" s="383">
        <f t="shared" si="42"/>
        <v>0.95492799705733278</v>
      </c>
      <c r="R74" s="616"/>
      <c r="S74" s="32"/>
      <c r="T74" s="32"/>
      <c r="U74" s="12"/>
      <c r="V74" s="388"/>
      <c r="W74" s="12"/>
      <c r="X74" s="12"/>
      <c r="Y74" s="22">
        <f>SUM(Y67:Y73)</f>
        <v>0</v>
      </c>
      <c r="Z74" s="22">
        <f>SUM(Z67:Z73)</f>
        <v>0</v>
      </c>
      <c r="AA74" s="611"/>
      <c r="AB74" s="611"/>
      <c r="AC74" s="22">
        <v>7</v>
      </c>
      <c r="AD74" s="22">
        <f>SUM(AD67:AD73)</f>
        <v>0</v>
      </c>
      <c r="AE74" s="14">
        <f t="shared" si="43"/>
        <v>-108.17280706240126</v>
      </c>
      <c r="AF74" s="383">
        <f t="shared" si="44"/>
        <v>0.95492799705733278</v>
      </c>
      <c r="AG74" s="616"/>
    </row>
    <row r="75" spans="1:33">
      <c r="D75" s="23"/>
      <c r="E75" s="23"/>
    </row>
  </sheetData>
  <mergeCells count="195">
    <mergeCell ref="I1:K2"/>
    <mergeCell ref="L1:N2"/>
    <mergeCell ref="O1:R2"/>
    <mergeCell ref="S1:X2"/>
    <mergeCell ref="AA1:AB2"/>
    <mergeCell ref="AE1:AG2"/>
    <mergeCell ref="K3:K4"/>
    <mergeCell ref="L3:L4"/>
    <mergeCell ref="M3:M4"/>
    <mergeCell ref="F3:F4"/>
    <mergeCell ref="G3:G4"/>
    <mergeCell ref="AC3:AD3"/>
    <mergeCell ref="N3:N4"/>
    <mergeCell ref="O3:O4"/>
    <mergeCell ref="P3:P4"/>
    <mergeCell ref="Q3:Q4"/>
    <mergeCell ref="R3:R4"/>
    <mergeCell ref="S3:T3"/>
    <mergeCell ref="C7:D7"/>
    <mergeCell ref="AA7:AB7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H3:H4"/>
    <mergeCell ref="I3:I4"/>
    <mergeCell ref="J3:J4"/>
    <mergeCell ref="A3:A4"/>
    <mergeCell ref="B3:B4"/>
    <mergeCell ref="C3:D4"/>
    <mergeCell ref="E3:E4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A8:A13"/>
    <mergeCell ref="C8:D8"/>
    <mergeCell ref="R8:R13"/>
    <mergeCell ref="AA8:AB8"/>
    <mergeCell ref="AA18:AB18"/>
    <mergeCell ref="C13:D13"/>
    <mergeCell ref="AA13:AB13"/>
    <mergeCell ref="A14:A22"/>
    <mergeCell ref="C14:D14"/>
    <mergeCell ref="R14:R22"/>
    <mergeCell ref="AA14:AB14"/>
    <mergeCell ref="C22:D22"/>
    <mergeCell ref="AA22:AB22"/>
    <mergeCell ref="AG14:AG22"/>
    <mergeCell ref="C15:D15"/>
    <mergeCell ref="AA15:AB15"/>
    <mergeCell ref="C16:D16"/>
    <mergeCell ref="AA16:AB16"/>
    <mergeCell ref="C17:D17"/>
    <mergeCell ref="AA17:AB17"/>
    <mergeCell ref="C18:D18"/>
    <mergeCell ref="A23:A30"/>
    <mergeCell ref="C23:D23"/>
    <mergeCell ref="R23:R30"/>
    <mergeCell ref="AA23:AB23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5:D35"/>
    <mergeCell ref="AA35:AB35"/>
    <mergeCell ref="C30:D30"/>
    <mergeCell ref="AA30:AB30"/>
    <mergeCell ref="A31:A38"/>
    <mergeCell ref="C31:D31"/>
    <mergeCell ref="R31:R38"/>
    <mergeCell ref="AA31:AB31"/>
    <mergeCell ref="AA36:AB36"/>
    <mergeCell ref="C42:D42"/>
    <mergeCell ref="C38:D38"/>
    <mergeCell ref="AA38:AB38"/>
    <mergeCell ref="AG31:AG38"/>
    <mergeCell ref="C32:D32"/>
    <mergeCell ref="AA32:AB32"/>
    <mergeCell ref="C33:D33"/>
    <mergeCell ref="AA33:AB33"/>
    <mergeCell ref="C34:D34"/>
    <mergeCell ref="AA34:AB34"/>
    <mergeCell ref="C37:D37"/>
    <mergeCell ref="AA37:AB37"/>
    <mergeCell ref="C36:D36"/>
    <mergeCell ref="AG39:AG47"/>
    <mergeCell ref="C40:D40"/>
    <mergeCell ref="AA40:AB40"/>
    <mergeCell ref="C41:D41"/>
    <mergeCell ref="AA41:AB41"/>
    <mergeCell ref="C47:D47"/>
    <mergeCell ref="AA47:AB47"/>
    <mergeCell ref="C46:D46"/>
    <mergeCell ref="AA46:AB46"/>
    <mergeCell ref="AA42:AB42"/>
    <mergeCell ref="C43:D43"/>
    <mergeCell ref="AA43:AB43"/>
    <mergeCell ref="C44:D44"/>
    <mergeCell ref="AA44:AB44"/>
    <mergeCell ref="C45:D45"/>
    <mergeCell ref="C50:D50"/>
    <mergeCell ref="AA50:AB50"/>
    <mergeCell ref="C51:D51"/>
    <mergeCell ref="C52:D52"/>
    <mergeCell ref="AA52:AB52"/>
    <mergeCell ref="AA51:AB51"/>
    <mergeCell ref="AA45:AB45"/>
    <mergeCell ref="A39:A47"/>
    <mergeCell ref="C39:D39"/>
    <mergeCell ref="R39:R47"/>
    <mergeCell ref="AA39:AB39"/>
    <mergeCell ref="A48:A52"/>
    <mergeCell ref="C48:D48"/>
    <mergeCell ref="R48:R52"/>
    <mergeCell ref="AA48:AB48"/>
    <mergeCell ref="AG53:AG61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AA59:AB59"/>
    <mergeCell ref="C60:D60"/>
    <mergeCell ref="AA60:AB60"/>
    <mergeCell ref="R53:R61"/>
    <mergeCell ref="AA53:AB53"/>
    <mergeCell ref="C61:D61"/>
    <mergeCell ref="AA61:AB61"/>
    <mergeCell ref="AG48:AG52"/>
    <mergeCell ref="C49:D49"/>
    <mergeCell ref="AA49:AB49"/>
    <mergeCell ref="A62:A66"/>
    <mergeCell ref="C62:D62"/>
    <mergeCell ref="R62:R66"/>
    <mergeCell ref="AA62:AB62"/>
    <mergeCell ref="A53:A61"/>
    <mergeCell ref="C53:D5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4"/>
    <mergeCell ref="C67:D67"/>
    <mergeCell ref="R67:R74"/>
    <mergeCell ref="AA67:AB67"/>
    <mergeCell ref="AA72:AB72"/>
    <mergeCell ref="C74:D74"/>
    <mergeCell ref="AA74:AB74"/>
    <mergeCell ref="AA73:AB73"/>
    <mergeCell ref="AG67:AG74"/>
    <mergeCell ref="C68:D68"/>
    <mergeCell ref="AA68:AB68"/>
    <mergeCell ref="C69:D69"/>
    <mergeCell ref="AA69:AB69"/>
    <mergeCell ref="C70:D70"/>
    <mergeCell ref="AA70:AB70"/>
    <mergeCell ref="C73:D73"/>
    <mergeCell ref="C72:D72"/>
    <mergeCell ref="C71:D71"/>
    <mergeCell ref="AA71:AB71"/>
  </mergeCells>
  <phoneticPr fontId="3" type="noConversion"/>
  <conditionalFormatting sqref="O65:O72 O61:O62 O74 O5:O8 O13:O15 O22:O58">
    <cfRule type="cellIs" dxfId="1437" priority="63" operator="greaterThan">
      <formula>0</formula>
    </cfRule>
  </conditionalFormatting>
  <conditionalFormatting sqref="P5:P6 P65 AE65 P67:P72 P31:P37 P62 P8 P13:P15 P23:P29 P53:P58 P39:P51 AE5:AE62 AE67:AE74">
    <cfRule type="cellIs" dxfId="1436" priority="67" operator="lessThan">
      <formula>0</formula>
    </cfRule>
  </conditionalFormatting>
  <conditionalFormatting sqref="AF65 Q65:Q72 Q61:Q62 Q74 Q5:Q8 Q13:Q15 Q22:Q58 AF5:AF62 AF67:AF74">
    <cfRule type="cellIs" dxfId="1435" priority="64" operator="greaterThan">
      <formula>1</formula>
    </cfRule>
    <cfRule type="cellIs" dxfId="1434" priority="65" operator="lessThan">
      <formula>0.8</formula>
    </cfRule>
  </conditionalFormatting>
  <conditionalFormatting sqref="AG14:AG15 R14:R15 AG65 R65:R72 R22:R28 AG22:AG28 AG61:AG62 R61:R62 R74 AG5:AG8 R5:R8 AG30:AG58 R30:R58">
    <cfRule type="cellIs" dxfId="1433" priority="69" operator="lessThan">
      <formula>0.8</formula>
    </cfRule>
  </conditionalFormatting>
  <conditionalFormatting sqref="AG48">
    <cfRule type="cellIs" dxfId="1432" priority="71" operator="lessThan">
      <formula>0.8</formula>
    </cfRule>
  </conditionalFormatting>
  <conditionalFormatting sqref="AG23:AG28">
    <cfRule type="cellIs" dxfId="1431" priority="68" operator="lessThan">
      <formula>0.8</formula>
    </cfRule>
  </conditionalFormatting>
  <conditionalFormatting sqref="AG31">
    <cfRule type="cellIs" dxfId="1430" priority="70" operator="lessThan">
      <formula>0.8</formula>
    </cfRule>
  </conditionalFormatting>
  <conditionalFormatting sqref="AG39:AG46">
    <cfRule type="cellIs" dxfId="1429" priority="66" operator="lessThan">
      <formula>0.8</formula>
    </cfRule>
  </conditionalFormatting>
  <conditionalFormatting sqref="AE66">
    <cfRule type="cellIs" dxfId="1428" priority="62" operator="lessThan">
      <formula>0</formula>
    </cfRule>
  </conditionalFormatting>
  <conditionalFormatting sqref="AF66">
    <cfRule type="cellIs" dxfId="1427" priority="60" operator="greaterThan">
      <formula>1</formula>
    </cfRule>
    <cfRule type="cellIs" dxfId="1426" priority="61" operator="lessThan">
      <formula>0.8</formula>
    </cfRule>
  </conditionalFormatting>
  <conditionalFormatting sqref="O16:O17">
    <cfRule type="cellIs" dxfId="1425" priority="55" operator="greaterThan">
      <formula>0</formula>
    </cfRule>
  </conditionalFormatting>
  <conditionalFormatting sqref="P16:P17">
    <cfRule type="cellIs" dxfId="1424" priority="58" operator="lessThan">
      <formula>0</formula>
    </cfRule>
  </conditionalFormatting>
  <conditionalFormatting sqref="Q16:Q17">
    <cfRule type="cellIs" dxfId="1423" priority="56" operator="greaterThan">
      <formula>1</formula>
    </cfRule>
    <cfRule type="cellIs" dxfId="1422" priority="57" operator="lessThan">
      <formula>0.8</formula>
    </cfRule>
  </conditionalFormatting>
  <conditionalFormatting sqref="R16:R17 AG16:AG17">
    <cfRule type="cellIs" dxfId="1421" priority="59" operator="lessThan">
      <formula>0.8</formula>
    </cfRule>
  </conditionalFormatting>
  <conditionalFormatting sqref="O9:O12">
    <cfRule type="cellIs" dxfId="1420" priority="51" operator="greaterThan">
      <formula>0</formula>
    </cfRule>
  </conditionalFormatting>
  <conditionalFormatting sqref="P9:P12">
    <cfRule type="cellIs" dxfId="1419" priority="54" operator="lessThan">
      <formula>0</formula>
    </cfRule>
  </conditionalFormatting>
  <conditionalFormatting sqref="Q9:Q12">
    <cfRule type="cellIs" dxfId="1418" priority="52" operator="greaterThan">
      <formula>1</formula>
    </cfRule>
    <cfRule type="cellIs" dxfId="1417" priority="53" operator="lessThan">
      <formula>0.8</formula>
    </cfRule>
  </conditionalFormatting>
  <conditionalFormatting sqref="O59">
    <cfRule type="cellIs" dxfId="1416" priority="46" operator="greaterThan">
      <formula>0</formula>
    </cfRule>
  </conditionalFormatting>
  <conditionalFormatting sqref="P59">
    <cfRule type="cellIs" dxfId="1415" priority="49" operator="lessThan">
      <formula>0</formula>
    </cfRule>
  </conditionalFormatting>
  <conditionalFormatting sqref="Q59">
    <cfRule type="cellIs" dxfId="1414" priority="47" operator="greaterThan">
      <formula>1</formula>
    </cfRule>
    <cfRule type="cellIs" dxfId="1413" priority="48" operator="lessThan">
      <formula>0.8</formula>
    </cfRule>
  </conditionalFormatting>
  <conditionalFormatting sqref="R59 AG59">
    <cfRule type="cellIs" dxfId="1412" priority="50" operator="lessThan">
      <formula>0.8</formula>
    </cfRule>
  </conditionalFormatting>
  <conditionalFormatting sqref="O64">
    <cfRule type="cellIs" dxfId="1411" priority="41" operator="greaterThan">
      <formula>0</formula>
    </cfRule>
  </conditionalFormatting>
  <conditionalFormatting sqref="P64 AE64">
    <cfRule type="cellIs" dxfId="1410" priority="44" operator="lessThan">
      <formula>0</formula>
    </cfRule>
  </conditionalFormatting>
  <conditionalFormatting sqref="Q64 AF64">
    <cfRule type="cellIs" dxfId="1409" priority="42" operator="greaterThan">
      <formula>1</formula>
    </cfRule>
    <cfRule type="cellIs" dxfId="1408" priority="43" operator="lessThan">
      <formula>0.8</formula>
    </cfRule>
  </conditionalFormatting>
  <conditionalFormatting sqref="R64 AG64">
    <cfRule type="cellIs" dxfId="1407" priority="45" operator="lessThan">
      <formula>0.8</formula>
    </cfRule>
  </conditionalFormatting>
  <conditionalFormatting sqref="O73">
    <cfRule type="cellIs" dxfId="1406" priority="36" operator="greaterThan">
      <formula>0</formula>
    </cfRule>
  </conditionalFormatting>
  <conditionalFormatting sqref="P73">
    <cfRule type="cellIs" dxfId="1405" priority="39" operator="lessThan">
      <formula>0</formula>
    </cfRule>
  </conditionalFormatting>
  <conditionalFormatting sqref="Q73">
    <cfRule type="cellIs" dxfId="1404" priority="37" operator="greaterThan">
      <formula>1</formula>
    </cfRule>
    <cfRule type="cellIs" dxfId="1403" priority="38" operator="lessThan">
      <formula>0.8</formula>
    </cfRule>
  </conditionalFormatting>
  <conditionalFormatting sqref="R73">
    <cfRule type="cellIs" dxfId="1402" priority="40" operator="lessThan">
      <formula>0.8</formula>
    </cfRule>
  </conditionalFormatting>
  <conditionalFormatting sqref="O18:O19">
    <cfRule type="cellIs" dxfId="1401" priority="31" operator="greaterThan">
      <formula>0</formula>
    </cfRule>
  </conditionalFormatting>
  <conditionalFormatting sqref="P18:P19">
    <cfRule type="cellIs" dxfId="1400" priority="34" operator="lessThan">
      <formula>0</formula>
    </cfRule>
  </conditionalFormatting>
  <conditionalFormatting sqref="Q18:Q19">
    <cfRule type="cellIs" dxfId="1399" priority="32" operator="greaterThan">
      <formula>1</formula>
    </cfRule>
    <cfRule type="cellIs" dxfId="1398" priority="33" operator="lessThan">
      <formula>0.8</formula>
    </cfRule>
  </conditionalFormatting>
  <conditionalFormatting sqref="R18:R19 AG18:AG19">
    <cfRule type="cellIs" dxfId="1397" priority="35" operator="lessThan">
      <formula>0.8</formula>
    </cfRule>
  </conditionalFormatting>
  <conditionalFormatting sqref="O60">
    <cfRule type="cellIs" dxfId="1396" priority="26" operator="greaterThan">
      <formula>0</formula>
    </cfRule>
  </conditionalFormatting>
  <conditionalFormatting sqref="P60">
    <cfRule type="cellIs" dxfId="1395" priority="29" operator="lessThan">
      <formula>0</formula>
    </cfRule>
  </conditionalFormatting>
  <conditionalFormatting sqref="Q60">
    <cfRule type="cellIs" dxfId="1394" priority="27" operator="greaterThan">
      <formula>1</formula>
    </cfRule>
    <cfRule type="cellIs" dxfId="1393" priority="28" operator="lessThan">
      <formula>0.8</formula>
    </cfRule>
  </conditionalFormatting>
  <conditionalFormatting sqref="AG60 R60">
    <cfRule type="cellIs" dxfId="1392" priority="30" operator="lessThan">
      <formula>0.8</formula>
    </cfRule>
  </conditionalFormatting>
  <conditionalFormatting sqref="R29 AG29">
    <cfRule type="cellIs" dxfId="1391" priority="25" operator="lessThan">
      <formula>0.8</formula>
    </cfRule>
  </conditionalFormatting>
  <conditionalFormatting sqref="AG29">
    <cfRule type="cellIs" dxfId="1390" priority="24" operator="lessThan">
      <formula>0.8</formula>
    </cfRule>
  </conditionalFormatting>
  <conditionalFormatting sqref="O63">
    <cfRule type="cellIs" dxfId="1389" priority="19" operator="greaterThan">
      <formula>0</formula>
    </cfRule>
  </conditionalFormatting>
  <conditionalFormatting sqref="P63 AE63">
    <cfRule type="cellIs" dxfId="1388" priority="22" operator="lessThan">
      <formula>0</formula>
    </cfRule>
  </conditionalFormatting>
  <conditionalFormatting sqref="Q63 AF63">
    <cfRule type="cellIs" dxfId="1387" priority="20" operator="greaterThan">
      <formula>1</formula>
    </cfRule>
    <cfRule type="cellIs" dxfId="1386" priority="21" operator="lessThan">
      <formula>0.8</formula>
    </cfRule>
  </conditionalFormatting>
  <conditionalFormatting sqref="R63 AG63">
    <cfRule type="cellIs" dxfId="1385" priority="23" operator="lessThan">
      <formula>0.8</formula>
    </cfRule>
  </conditionalFormatting>
  <conditionalFormatting sqref="O20">
    <cfRule type="cellIs" dxfId="1384" priority="14" operator="greaterThan">
      <formula>0</formula>
    </cfRule>
  </conditionalFormatting>
  <conditionalFormatting sqref="P20">
    <cfRule type="cellIs" dxfId="1383" priority="17" operator="lessThan">
      <formula>0</formula>
    </cfRule>
  </conditionalFormatting>
  <conditionalFormatting sqref="Q20">
    <cfRule type="cellIs" dxfId="1382" priority="15" operator="greaterThan">
      <formula>1</formula>
    </cfRule>
    <cfRule type="cellIs" dxfId="1381" priority="16" operator="lessThan">
      <formula>0.8</formula>
    </cfRule>
  </conditionalFormatting>
  <conditionalFormatting sqref="AG20 R20">
    <cfRule type="cellIs" dxfId="1380" priority="18" operator="lessThan">
      <formula>0.8</formula>
    </cfRule>
  </conditionalFormatting>
  <conditionalFormatting sqref="O21">
    <cfRule type="cellIs" dxfId="1379" priority="9" operator="greaterThan">
      <formula>0</formula>
    </cfRule>
  </conditionalFormatting>
  <conditionalFormatting sqref="P21">
    <cfRule type="cellIs" dxfId="1378" priority="12" operator="lessThan">
      <formula>0</formula>
    </cfRule>
  </conditionalFormatting>
  <conditionalFormatting sqref="Q21">
    <cfRule type="cellIs" dxfId="1377" priority="10" operator="greaterThan">
      <formula>1</formula>
    </cfRule>
    <cfRule type="cellIs" dxfId="1376" priority="11" operator="lessThan">
      <formula>0.8</formula>
    </cfRule>
  </conditionalFormatting>
  <conditionalFormatting sqref="AG21 R21">
    <cfRule type="cellIs" dxfId="1375" priority="13" operator="lessThan">
      <formula>0.8</formula>
    </cfRule>
  </conditionalFormatting>
  <conditionalFormatting sqref="P7">
    <cfRule type="cellIs" dxfId="1374" priority="8" operator="lessThan">
      <formula>0</formula>
    </cfRule>
  </conditionalFormatting>
  <conditionalFormatting sqref="P22">
    <cfRule type="cellIs" dxfId="1373" priority="7" operator="lessThan">
      <formula>0</formula>
    </cfRule>
  </conditionalFormatting>
  <conditionalFormatting sqref="P30">
    <cfRule type="cellIs" dxfId="1372" priority="6" operator="lessThan">
      <formula>0</formula>
    </cfRule>
  </conditionalFormatting>
  <conditionalFormatting sqref="P38">
    <cfRule type="cellIs" dxfId="1371" priority="5" operator="lessThan">
      <formula>0</formula>
    </cfRule>
  </conditionalFormatting>
  <conditionalFormatting sqref="P52">
    <cfRule type="cellIs" dxfId="1370" priority="4" operator="lessThan">
      <formula>0</formula>
    </cfRule>
  </conditionalFormatting>
  <conditionalFormatting sqref="P61">
    <cfRule type="cellIs" dxfId="1369" priority="3" operator="lessThan">
      <formula>0</formula>
    </cfRule>
  </conditionalFormatting>
  <conditionalFormatting sqref="P66">
    <cfRule type="cellIs" dxfId="1368" priority="2" operator="lessThan">
      <formula>0</formula>
    </cfRule>
  </conditionalFormatting>
  <conditionalFormatting sqref="P74">
    <cfRule type="cellIs" dxfId="1367" priority="1" operator="lessThan">
      <formula>0</formula>
    </cfRule>
  </conditionalFormatting>
  <dataValidations count="1">
    <dataValidation type="list" allowBlank="1" showInputMessage="1" showErrorMessage="1" sqref="AB7 AA5:AB6 AA7:AA65 AB9:AB62 AA66:AB7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8" sqref="P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1838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1839</v>
      </c>
      <c r="C3" s="594" t="str">
        <f>TEXT('0720 4度C'!A2,"yyyy.mm.ddaaaa")</f>
        <v>2026.07.20星期一</v>
      </c>
      <c r="D3" s="595"/>
      <c r="E3" s="36" t="s">
        <v>1840</v>
      </c>
      <c r="F3" s="596">
        <f>'0720 4度C'!D1</f>
        <v>199802</v>
      </c>
      <c r="G3" s="597"/>
      <c r="H3" s="36" t="s">
        <v>1841</v>
      </c>
      <c r="I3" s="598">
        <f>'0720 4度C'!F1</f>
        <v>6965473.7699999996</v>
      </c>
      <c r="J3" s="599"/>
      <c r="K3" s="37"/>
      <c r="L3" s="38"/>
      <c r="M3" s="39"/>
      <c r="N3" s="39"/>
    </row>
    <row r="4" spans="2:17" ht="28.5" customHeight="1">
      <c r="B4" s="600" t="s">
        <v>1842</v>
      </c>
      <c r="C4" s="586" t="s">
        <v>89</v>
      </c>
      <c r="D4" s="587"/>
      <c r="E4" s="603" t="s">
        <v>1843</v>
      </c>
      <c r="F4" s="604"/>
      <c r="G4" s="603" t="s">
        <v>1844</v>
      </c>
      <c r="H4" s="604"/>
      <c r="I4" s="603" t="s">
        <v>1845</v>
      </c>
      <c r="J4" s="604"/>
      <c r="K4" s="584" t="s">
        <v>1846</v>
      </c>
      <c r="L4" s="585"/>
      <c r="M4" s="585" t="s">
        <v>1847</v>
      </c>
      <c r="N4" s="585"/>
    </row>
    <row r="5" spans="2:17" ht="28.5" customHeight="1">
      <c r="B5" s="601"/>
      <c r="C5" s="586" t="s">
        <v>1848</v>
      </c>
      <c r="D5" s="587"/>
      <c r="E5" s="586" t="s">
        <v>1849</v>
      </c>
      <c r="F5" s="587"/>
      <c r="G5" s="588" t="s">
        <v>1850</v>
      </c>
      <c r="H5" s="589"/>
      <c r="I5" s="590" t="s">
        <v>1851</v>
      </c>
      <c r="J5" s="591"/>
      <c r="K5" s="40" t="s">
        <v>1852</v>
      </c>
      <c r="L5" s="41" t="s">
        <v>1853</v>
      </c>
      <c r="M5" s="40" t="s">
        <v>1852</v>
      </c>
      <c r="N5" s="41" t="s">
        <v>1854</v>
      </c>
    </row>
    <row r="6" spans="2:17" ht="28.5" customHeight="1">
      <c r="B6" s="601"/>
      <c r="C6" s="586" t="s">
        <v>41</v>
      </c>
      <c r="D6" s="587"/>
      <c r="E6" s="578">
        <f>AVERAGE(D13:M13)</f>
        <v>156.79605775645604</v>
      </c>
      <c r="F6" s="579">
        <f>AVERAGE(D31:O31,D13:J13)</f>
        <v>166.56757141782984</v>
      </c>
      <c r="G6" s="580">
        <f>AVERAGE(D13:J13)</f>
        <v>166.56757141782984</v>
      </c>
      <c r="H6" s="581"/>
      <c r="I6" s="580">
        <f>AVERAGE(K13:M13)</f>
        <v>133.9958592132505</v>
      </c>
      <c r="J6" s="581"/>
      <c r="K6" s="582">
        <f>'0720 4度C'!Y2</f>
        <v>0</v>
      </c>
      <c r="L6" s="567">
        <f>'0720 4度C'!Z2</f>
        <v>0</v>
      </c>
      <c r="M6" s="583">
        <f>'0720 4度C'!AC2</f>
        <v>64</v>
      </c>
      <c r="N6" s="567">
        <f>'0720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150.35314926813342</v>
      </c>
      <c r="F7" s="571">
        <f>AVERAGE(D32:O32,D14:J14)</f>
        <v>159.86082694979783</v>
      </c>
      <c r="G7" s="572">
        <f>AVERAGE(D14:J14)</f>
        <v>159.86082694979783</v>
      </c>
      <c r="H7" s="573"/>
      <c r="I7" s="572">
        <f>AVERAGE(K14:M14)</f>
        <v>128.16856801091646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0.95832250503898497</v>
      </c>
      <c r="F8" s="575">
        <f>AVERAGE(D15:J15,D33:O33)</f>
        <v>0.95909840863111462</v>
      </c>
      <c r="G8" s="576">
        <f>AVERAGE(D15:J15)</f>
        <v>0.95909840863111462</v>
      </c>
      <c r="H8" s="577"/>
      <c r="I8" s="576">
        <f>AVERAGE(K15:M15)</f>
        <v>0.95651206332401573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1855</v>
      </c>
      <c r="N9" s="39"/>
      <c r="O9" s="39"/>
      <c r="P9" s="39"/>
      <c r="Q9" s="39"/>
    </row>
    <row r="10" spans="2:17" ht="30" customHeight="1">
      <c r="B10" s="550" t="s">
        <v>1856</v>
      </c>
      <c r="C10" s="551"/>
      <c r="D10" s="552" t="s">
        <v>1857</v>
      </c>
      <c r="E10" s="553"/>
      <c r="F10" s="553"/>
      <c r="G10" s="553"/>
      <c r="H10" s="553"/>
      <c r="I10" s="553"/>
      <c r="J10" s="554"/>
      <c r="K10" s="555" t="s">
        <v>1858</v>
      </c>
      <c r="L10" s="556"/>
      <c r="M10" s="557"/>
      <c r="P10" s="45"/>
      <c r="Q10" s="45"/>
    </row>
    <row r="11" spans="2:17" ht="17.25" customHeight="1">
      <c r="B11" s="558" t="s">
        <v>1859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1860</v>
      </c>
      <c r="C13" s="52" t="s">
        <v>1861</v>
      </c>
      <c r="D13" s="53">
        <f>SUMIFS('0720 4度C'!$K:$K,'0720 4度C'!$A:$A,"新豐6線",'0720 4度C'!$B:$B,"平均")</f>
        <v>129.03225806451613</v>
      </c>
      <c r="E13" s="54">
        <f>SUMIFS('0720 4度C'!$K:$K,'0720 4度C'!$A:$A,"新豐2線",'0720 4度C'!$B:$B,"平均")</f>
        <v>84.905660377358487</v>
      </c>
      <c r="F13" s="55">
        <f>SUMIFS('0720 4度C'!$K:$K,'0720 4度C'!$A:$A,"新豐5線",'0720 4度C'!$B:$B,"平均")</f>
        <v>95.092024539877301</v>
      </c>
      <c r="G13" s="55">
        <f>SUMIFS('0720 4度C'!$K:$K,'0720 4度C'!$A:$A,"新豐7線",'0720 4度C'!$B:$B,"平均")</f>
        <v>127.27272727272728</v>
      </c>
      <c r="H13" s="55">
        <f>SUMIFS('0720 4度C'!$K:$K,'0720 4度C'!$A:$A,"新豐3線",'0720 4度C'!$B:$B,"平均")</f>
        <v>307.69230769230768</v>
      </c>
      <c r="I13" s="55">
        <f>SUMIFS('0720 4度C'!$K:$K,'0720 4度C'!$A:$A,"新豐1線",'0720 4度C'!$B:$B,"平均")</f>
        <v>114.28571428571429</v>
      </c>
      <c r="J13" s="56">
        <f>SUMIFS('0720 4度C'!$K:$K,'0720 4度C'!$A:$A,"新豐10線",'0720 4度C'!$B:$B,"平均")</f>
        <v>307.69230769230768</v>
      </c>
      <c r="K13" s="57">
        <f>SUMIFS('0720 4度C'!$K:$K,'0720 4度C'!$A:$A,"新豐8線",'0720 4度C'!$B:$B,"平均")</f>
        <v>137.14285714285714</v>
      </c>
      <c r="L13" s="58">
        <f>SUMIFS('0720 4度C'!$K:$K,'0720 4度C'!$A:$A,"新豐9線",'0720 4度C'!$B:$B,"平均")</f>
        <v>125.71428571428571</v>
      </c>
      <c r="M13" s="56">
        <f>SUMIFS('0720 4度C'!$K:$K,'0720 4度C'!$A:$A,"新豐4線",'0720 4度C'!$B:$B,"平均")</f>
        <v>139.13043478260869</v>
      </c>
    </row>
    <row r="14" spans="2:17" ht="39.6" customHeight="1">
      <c r="B14" s="563"/>
      <c r="C14" s="59" t="s">
        <v>1862</v>
      </c>
      <c r="D14" s="60">
        <f>SUMIFS('0720 4度C'!$N:$N,'0720 4度C'!$A:$A,"新豐6線",'0720 4度C'!$B:$B,"平均")</f>
        <v>123.2358268778664</v>
      </c>
      <c r="E14" s="61">
        <f>SUMIFS('0720 4度C'!$N:$N,'0720 4度C'!$A:$A,"新豐2線",'0720 4度C'!$B:$B,"平均")</f>
        <v>81.172969628355133</v>
      </c>
      <c r="F14" s="61">
        <f>SUMIFS('0720 4度C'!$N:$N,'0720 4度C'!$A:$A,"新豐5線",'0720 4度C'!$B:$B,"平均")</f>
        <v>91.428517393339888</v>
      </c>
      <c r="G14" s="61">
        <f>SUMIFS('0720 4度C'!$N:$N,'0720 4度C'!$A:$A,"新豐7線",'0720 4度C'!$B:$B,"平均")</f>
        <v>121.81456802211073</v>
      </c>
      <c r="H14" s="61">
        <f>SUMIFS('0720 4度C'!$N:$N,'0720 4度C'!$A:$A,"新豐3線",'0720 4度C'!$B:$B,"平均")</f>
        <v>295.07958007253285</v>
      </c>
      <c r="I14" s="61">
        <f>SUMIFS('0720 4度C'!$N:$N,'0720 4度C'!$A:$A,"新豐1線",'0720 4度C'!$B:$B,"平均")</f>
        <v>109.91277422536673</v>
      </c>
      <c r="J14" s="62">
        <f>SUMIFS('0720 4度C'!$N:$N,'0720 4度C'!$A:$A,"新豐10線",'0720 4度C'!$B:$B,"平均")</f>
        <v>296.38155242901297</v>
      </c>
      <c r="K14" s="63">
        <f>SUMIFS('0720 4度C'!$N:$N,'0720 4度C'!$A:$A,"新豐8線",'0720 4度C'!$B:$B,"平均")</f>
        <v>130.89031257018786</v>
      </c>
      <c r="L14" s="64">
        <f>SUMIFS('0720 4度C'!$N:$N,'0720 4度C'!$A:$A,"新豐9線",'0720 4度C'!$B:$B,"平均")</f>
        <v>120.28887483851044</v>
      </c>
      <c r="M14" s="62">
        <f>SUMIFS('0720 4度C'!$N:$N,'0720 4度C'!$A:$A,"新豐4線",'0720 4度C'!$B:$B,"平均")</f>
        <v>133.32651662405104</v>
      </c>
    </row>
    <row r="15" spans="2:17" ht="40.15" customHeight="1">
      <c r="B15" s="564"/>
      <c r="C15" s="65" t="s">
        <v>1863</v>
      </c>
      <c r="D15" s="66">
        <f t="shared" ref="D15:M15" si="0">D14/D13</f>
        <v>0.95507765830346458</v>
      </c>
      <c r="E15" s="67">
        <f t="shared" si="0"/>
        <v>0.95603719784507157</v>
      </c>
      <c r="F15" s="67">
        <f t="shared" si="0"/>
        <v>0.96147408613641305</v>
      </c>
      <c r="G15" s="67">
        <f t="shared" si="0"/>
        <v>0.95711446303087</v>
      </c>
      <c r="H15" s="67">
        <f t="shared" si="0"/>
        <v>0.95900863523573177</v>
      </c>
      <c r="I15" s="67">
        <f t="shared" si="0"/>
        <v>0.96173677447195882</v>
      </c>
      <c r="J15" s="68">
        <f t="shared" si="0"/>
        <v>0.9632400453942922</v>
      </c>
      <c r="K15" s="66">
        <f t="shared" si="0"/>
        <v>0.95440852915761987</v>
      </c>
      <c r="L15" s="67">
        <f t="shared" si="0"/>
        <v>0.95684332257906035</v>
      </c>
      <c r="M15" s="68">
        <f t="shared" si="0"/>
        <v>0.95828433823536685</v>
      </c>
    </row>
    <row r="16" spans="2:17" ht="17.25" customHeight="1">
      <c r="B16" s="565" t="s">
        <v>1864</v>
      </c>
      <c r="C16" s="69" t="s">
        <v>1865</v>
      </c>
      <c r="D16" s="70">
        <f>VLOOKUP("新豐6線",'0720 4度C'!$A:$T,19,0)</f>
        <v>0.70833333333333337</v>
      </c>
      <c r="E16" s="71">
        <f>VLOOKUP("新豐2線",'0720 4度C'!$A:$T,19,0)</f>
        <v>8.3333333333333329E-2</v>
      </c>
      <c r="F16" s="71">
        <f>VLOOKUP("新豐5線",'0720 4度C'!$A:$T,19,0)</f>
        <v>8.3333333333333329E-2</v>
      </c>
      <c r="G16" s="71">
        <f>VLOOKUP("新豐7線",'0720 4度C'!$A:$T,19,0)</f>
        <v>0.20833333333333334</v>
      </c>
      <c r="H16" s="71">
        <f>VLOOKUP("新豐3線",'0720 4度C'!$A:$T,19,0)</f>
        <v>0.20833333333333334</v>
      </c>
      <c r="I16" s="71">
        <f>VLOOKUP("新豐1線",'0720 4度C'!$A:$T,19,0)</f>
        <v>0.20833333333333334</v>
      </c>
      <c r="J16" s="72">
        <f>VLOOKUP("新豐10線",'0720 4度C'!$A:$T,19,0)</f>
        <v>0.20833333333333334</v>
      </c>
      <c r="K16" s="73">
        <f>VLOOKUP("新豐8線",'0720 4度C'!$A:$T,19,0)</f>
        <v>8.3333333333333329E-2</v>
      </c>
      <c r="L16" s="74">
        <f>VLOOKUP("新豐9線",'0720 4度C'!$A:$T,19,0)</f>
        <v>8.3333333333333329E-2</v>
      </c>
      <c r="M16" s="75">
        <f>VLOOKUP("新豐4線",'0720 4度C'!$A:$T,19,0)</f>
        <v>8.3333333333333329E-2</v>
      </c>
    </row>
    <row r="17" spans="2:13" ht="17.25" customHeight="1">
      <c r="B17" s="566"/>
      <c r="C17" s="69" t="s">
        <v>1866</v>
      </c>
      <c r="D17" s="73">
        <f>LOOKUP(2,1/(('0720 4度C'!$A:$A="新豐6線")*('0720 4度C'!$T:$T&lt;&gt;"")),'0720 4度C'!$T:$T)</f>
        <v>0.83472222222222225</v>
      </c>
      <c r="E17" s="71">
        <f>LOOKUP(2,1/(('0720 4度C'!$A:$A="新豐2線")*('0720 4度C'!$T:$T&lt;&gt;"")),'0720 4度C'!$T:$T)</f>
        <v>0.70555555555555549</v>
      </c>
      <c r="F17" s="71">
        <f>LOOKUP(2,1/(('0720 4度C'!$A:$A="新豐5線")*('0720 4度C'!$T:$T&lt;&gt;"")),'0720 4度C'!$T:$T)</f>
        <v>0.91249999999999987</v>
      </c>
      <c r="G17" s="71">
        <f>LOOKUP(2,1/(('0720 4度C'!$A:$A="新豐7線")*('0720 4度C'!$T:$T&lt;&gt;"")),'0720 4度C'!$T:$T)</f>
        <v>0.97013888888888888</v>
      </c>
      <c r="H17" s="71">
        <f>LOOKUP(2,1/(('0720 4度C'!$A:$A="新豐3線")*('0720 4度C'!$T:$T&lt;&gt;"")),'0720 4度C'!$T:$T)</f>
        <v>0.48125000000000001</v>
      </c>
      <c r="I17" s="71">
        <f>LOOKUP(2,1/(('0720 4度C'!$A:$A="新豐1線")*('0720 4度C'!$T:$T&lt;&gt;"")),'0720 4度C'!$T:$T)</f>
        <v>0.85416666666666663</v>
      </c>
      <c r="J17" s="72">
        <f>LOOKUP(2,1/(('0720 4度C'!$A:$A="新豐10線")*('0720 4度C'!$T:$T&lt;&gt;"")),'0720 4度C'!$T:$T)</f>
        <v>0.41458333333333325</v>
      </c>
      <c r="K17" s="70">
        <f>LOOKUP(2,1/(('0720 4度C'!$A:$A="新豐8線")*('0720 4度C'!$T:$T&lt;&gt;"")),'0720 4度C'!$T:$T)</f>
        <v>0.72499999999999987</v>
      </c>
      <c r="L17" s="71">
        <f>LOOKUP(2,1/(('0720 4度C'!$A:$A="新豐9線")*('0720 4度C'!$T:$T&lt;&gt;"")),'0720 4度C'!$T:$T)</f>
        <v>0.73611111111111105</v>
      </c>
      <c r="M17" s="72">
        <f>LOOKUP(2,1/(('0720 4度C'!$A:$A="新豐4線")*('0720 4度C'!$T:$T&lt;&gt;"")),'0720 4度C'!$T:$T)</f>
        <v>0.72499999999999987</v>
      </c>
    </row>
    <row r="18" spans="2:13" ht="17.25" customHeight="1">
      <c r="B18" s="544" t="s">
        <v>1867</v>
      </c>
      <c r="C18" s="76" t="s">
        <v>68</v>
      </c>
      <c r="D18" s="77">
        <f>SUMIFS('0720 4度C'!$Y:$Y,'0720 4度C'!$A:$A,"新豐6線",'0720 4度C'!$B:$B,"平均")</f>
        <v>0</v>
      </c>
      <c r="E18" s="78">
        <f>SUMIFS('0720 4度C'!$Y:$Y,'0720 4度C'!$A:$A,"新豐2線",'0720 4度C'!$B:$B,"平均")</f>
        <v>0</v>
      </c>
      <c r="F18" s="78">
        <f>SUMIFS('0720 4度C'!$Y:$Y,'0720 4度C'!$A:$A,"新豐5線",'0720 4度C'!$B:$B,"平均")</f>
        <v>0</v>
      </c>
      <c r="G18" s="78">
        <f>SUMIFS('0720 4度C'!$Y:$Y,'0720 4度C'!$A:$A,"新豐7線",'0720 4度C'!$B:$B,"平均")</f>
        <v>0</v>
      </c>
      <c r="H18" s="78">
        <f>SUMIFS('0720 4度C'!$Y:$Y,'0720 4度C'!$A:$A,"新豐3線",'0720 4度C'!$B:$B,"平均")</f>
        <v>0</v>
      </c>
      <c r="I18" s="78">
        <f>SUMIFS('0720 4度C'!$Y:$Y,'0720 4度C'!$A:$A,"新豐1線",'0720 4度C'!$B:$B,"平均")</f>
        <v>0</v>
      </c>
      <c r="J18" s="79">
        <f>SUMIFS('0720 4度C'!$Y:$Y,'0720 4度C'!$A:$A,"新豐10線",'0720 4度C'!$B:$B,"平均")</f>
        <v>0</v>
      </c>
      <c r="K18" s="80">
        <f>SUMIFS('0720 4度C'!$Y:$Y,'0720 4度C'!$A:$A,"新豐8線",'0720 4度C'!$B:$B,"平均")</f>
        <v>0</v>
      </c>
      <c r="L18" s="78">
        <f>SUMIFS('0720 4度C'!$Y:$Y,'0720 4度C'!$A:$A,"新豐9線",'0720 4度C'!$B:$B,"平均")</f>
        <v>0</v>
      </c>
      <c r="M18" s="79">
        <f>SUMIFS('0720 4度C'!$Y:$Y,'0720 4度C'!$A:$A,"新豐4線",'0720 4度C'!$B:$B,"平均")</f>
        <v>0</v>
      </c>
    </row>
    <row r="19" spans="2:13" ht="17.25" customHeight="1">
      <c r="B19" s="545"/>
      <c r="C19" s="76" t="s">
        <v>1868</v>
      </c>
      <c r="D19" s="77">
        <f>SUMIFS('0720 4度C'!$Z:$Z,'0720 4度C'!$A:$A,"新豐6線",'0720 4度C'!$B:$B,"平均")</f>
        <v>0</v>
      </c>
      <c r="E19" s="78">
        <f>SUMIFS('0720 4度C'!$Z:$Z,'0720 4度C'!$A:$A,"新豐2線",'0720 4度C'!$B:$B,"平均")</f>
        <v>0</v>
      </c>
      <c r="F19" s="78">
        <f>SUMIFS('0720 4度C'!$Z:$Z,'0720 4度C'!$A:$A,"新豐5線",'0720 4度C'!$B:$B,"平均")</f>
        <v>0</v>
      </c>
      <c r="G19" s="78">
        <f>SUMIFS('0720 4度C'!$Z:$Z,'0720 4度C'!$A:$A,"新豐7線",'0720 4度C'!$B:$B,"平均")</f>
        <v>0</v>
      </c>
      <c r="H19" s="78">
        <f>SUMIFS('0720 4度C'!$Z:$Z,'0720 4度C'!$A:$A,"新豐3線",'0720 4度C'!$B:$B,"平均")</f>
        <v>0</v>
      </c>
      <c r="I19" s="78">
        <f>SUMIFS('0720 4度C'!$Z:$Z,'0720 4度C'!$A:$A,"新豐1線",'0720 4度C'!$B:$B,"平均")</f>
        <v>0</v>
      </c>
      <c r="J19" s="79">
        <f>SUMIFS('0720 4度C'!$Z:$Z,'0720 4度C'!$A:$A,"新豐10線",'0720 4度C'!$B:$B,"平均")</f>
        <v>0</v>
      </c>
      <c r="K19" s="80">
        <f>SUMIFS('0720 4度C'!$Z:$Z,'0720 4度C'!$A:$A,"新豐8線",'0720 4度C'!$B:$B,"平均")</f>
        <v>0</v>
      </c>
      <c r="L19" s="78">
        <f>SUMIFS('0720 4度C'!$Z:$Z,'0720 4度C'!$A:$A,"新豐9線",'0720 4度C'!$B:$B,"平均")</f>
        <v>0</v>
      </c>
      <c r="M19" s="79">
        <f>SUMIFS('0720 4度C'!$Z:$Z,'0720 4度C'!$A:$A,"新豐4線",'0720 4度C'!$B:$B,"平均")</f>
        <v>0</v>
      </c>
    </row>
    <row r="20" spans="2:13" ht="17.25" customHeight="1">
      <c r="B20" s="544" t="s">
        <v>1869</v>
      </c>
      <c r="C20" s="76" t="s">
        <v>1870</v>
      </c>
      <c r="D20" s="77">
        <f>SUMIFS('0720 4度C'!$AC:$AC,'0720 4度C'!$A:$A,"新豐6線",'0720 4度C'!$B:$B,"平均")</f>
        <v>2</v>
      </c>
      <c r="E20" s="78">
        <f>SUMIFS('0720 4度C'!$AC:$AC,'0720 4度C'!$A:$A,"新豐2線",'0720 4度C'!$B:$B,"平均")</f>
        <v>6</v>
      </c>
      <c r="F20" s="78">
        <f>SUMIFS('0720 4度C'!$AC:$AC,'0720 4度C'!$A:$A,"新豐5線",'0720 4度C'!$B:$B,"平均")</f>
        <v>9</v>
      </c>
      <c r="G20" s="78">
        <f>SUMIFS('0720 4度C'!$AC:$AC,'0720 4度C'!$A:$A,"新豐7線",'0720 4度C'!$B:$B,"平均")</f>
        <v>7</v>
      </c>
      <c r="H20" s="78">
        <f>SUMIFS('0720 4度C'!$AC:$AC,'0720 4度C'!$A:$A,"新豐3線",'0720 4度C'!$B:$B,"平均")</f>
        <v>4</v>
      </c>
      <c r="I20" s="78">
        <f>SUMIFS('0720 4度C'!$AC:$AC,'0720 4度C'!$A:$A,"新豐1線",'0720 4度C'!$B:$B,"平均")</f>
        <v>8</v>
      </c>
      <c r="J20" s="79">
        <f>SUMIFS('0720 4度C'!$AC:$AC,'0720 4度C'!$A:$A,"新豐10線",'0720 4度C'!$B:$B,"平均")</f>
        <v>4</v>
      </c>
      <c r="K20" s="80">
        <f>SUMIFS('0720 4度C'!$AC:$AC,'0720 4度C'!$A:$A,"新豐8線",'0720 4度C'!$B:$B,"平均")</f>
        <v>8</v>
      </c>
      <c r="L20" s="78">
        <f>SUMIFS('0720 4度C'!$AC:$AC,'0720 4度C'!$A:$A,"新豐9線",'0720 4度C'!$B:$B,"平均")</f>
        <v>8</v>
      </c>
      <c r="M20" s="79">
        <f>SUMIFS('0720 4度C'!$AC:$AC,'0720 4度C'!$A:$A,"新豐4線",'0720 4度C'!$B:$B,"平均")</f>
        <v>8</v>
      </c>
    </row>
    <row r="21" spans="2:13" ht="17.25" customHeight="1">
      <c r="B21" s="545"/>
      <c r="C21" s="76" t="s">
        <v>1871</v>
      </c>
      <c r="D21" s="77">
        <f>SUMIFS('0720 4度C'!$AD:$AD,'0720 4度C'!$A:$A,"新豐6線",'0720 4度C'!$B:$B,"平均")</f>
        <v>0</v>
      </c>
      <c r="E21" s="78">
        <f>SUMIFS('0720 4度C'!$AD:$AD,'0720 4度C'!$A:$A,"新豐2線",'0720 4度C'!$B:$B,"平均")</f>
        <v>0</v>
      </c>
      <c r="F21" s="78">
        <f>SUMIFS('0720 4度C'!$AD:$AD,'0720 4度C'!$A:$A,"新豐5線",'0720 4度C'!$B:$B,"平均")</f>
        <v>0</v>
      </c>
      <c r="G21" s="78">
        <f>SUMIFS('0720 4度C'!$AD:$AD,'0720 4度C'!$A:$A,"新豐7線",'0720 4度C'!$B:$B,"平均")</f>
        <v>0</v>
      </c>
      <c r="H21" s="78">
        <f>SUMIFS('0720 4度C'!$AD:$AD,'0720 4度C'!$A:$A,"新豐3線",'0720 4度C'!$B:$B,"平均")</f>
        <v>0</v>
      </c>
      <c r="I21" s="78">
        <f>SUMIFS('0720 4度C'!$AD:$AD,'0720 4度C'!$A:$A,"新豐1線",'0720 4度C'!$B:$B,"平均")</f>
        <v>0</v>
      </c>
      <c r="J21" s="79">
        <f>SUMIFS('0720 4度C'!$AD:$AD,'0720 4度C'!$A:$A,"新豐10線",'0720 4度C'!$B:$B,"平均")</f>
        <v>0</v>
      </c>
      <c r="K21" s="80">
        <f>SUMIFS('0720 4度C'!$AD:$AD,'0720 4度C'!$A:$A,"新豐8線",'0720 4度C'!$B:$B,"平均")</f>
        <v>0</v>
      </c>
      <c r="L21" s="78">
        <f>SUMIFS('0720 4度C'!$AD:$AD,'0720 4度C'!$A:$A,"新豐9線",'0720 4度C'!$B:$B,"平均")</f>
        <v>0</v>
      </c>
      <c r="M21" s="79">
        <f>SUMIFS('0720 4度C'!$AD:$AD,'0720 4度C'!$A:$A,"新豐4線",'0720 4度C'!$B:$B,"平均")</f>
        <v>0</v>
      </c>
    </row>
    <row r="22" spans="2:13" ht="17.25" customHeight="1">
      <c r="B22" s="546" t="s">
        <v>1872</v>
      </c>
      <c r="C22" s="547"/>
      <c r="D22" s="81">
        <f>SUMIFS('0720 4度C'!$I:$I,'0720 4度C'!$A:$A,"新豐6線",'0720 4度C'!$B:$B,"平均")</f>
        <v>15.5</v>
      </c>
      <c r="E22" s="82">
        <f>SUMIFS('0720 4度C'!$I:$I,'0720 4度C'!$A:$A,"新豐2線",'0720 4度C'!$B:$B,"平均")</f>
        <v>17.666666666666668</v>
      </c>
      <c r="F22" s="82">
        <f>SUMIFS('0720 4度C'!$I:$I,'0720 4度C'!$A:$A,"新豐5線",'0720 4度C'!$B:$B,"平均")</f>
        <v>18.111111111111111</v>
      </c>
      <c r="G22" s="82">
        <f>SUMIFS('0720 4度C'!$I:$I,'0720 4度C'!$A:$A,"新豐7線",'0720 4度C'!$B:$B,"平均")</f>
        <v>15.714285714285714</v>
      </c>
      <c r="H22" s="82">
        <f>SUMIFS('0720 4度C'!$I:$I,'0720 4度C'!$A:$A,"新豐3線",'0720 4度C'!$B:$B,"平均")</f>
        <v>9.75</v>
      </c>
      <c r="I22" s="82">
        <f>SUMIFS('0720 4度C'!$I:$I,'0720 4度C'!$A:$A,"新豐1線",'0720 4度C'!$B:$B,"平均")</f>
        <v>17.5</v>
      </c>
      <c r="J22" s="83">
        <f>SUMIFS('0720 4度C'!$I:$I,'0720 4度C'!$A:$A,"新豐10線",'0720 4度C'!$B:$B,"平均")</f>
        <v>9.75</v>
      </c>
      <c r="K22" s="81">
        <f>SUMIFS('0720 4度C'!$I:$I,'0720 4度C'!$A:$A,"新豐8線",'0720 4度C'!$B:$B,"平均")</f>
        <v>17.5</v>
      </c>
      <c r="L22" s="82">
        <f>SUMIFS('0720 4度C'!$I:$I,'0720 4度C'!$A:$A,"新豐9線",'0720 4度C'!$B:$B,"平均")</f>
        <v>17.5</v>
      </c>
      <c r="M22" s="83">
        <f>SUMIFS('0720 4度C'!$I:$I,'0720 4度C'!$A:$A,"新豐4線",'0720 4度C'!$B:$B,"平均")</f>
        <v>17.25</v>
      </c>
    </row>
    <row r="23" spans="2:13" ht="17.25" customHeight="1">
      <c r="B23" s="546" t="s">
        <v>1873</v>
      </c>
      <c r="C23" s="547"/>
      <c r="D23" s="84" t="s">
        <v>54</v>
      </c>
      <c r="E23" s="85" t="s">
        <v>55</v>
      </c>
      <c r="F23" s="85" t="s">
        <v>1874</v>
      </c>
      <c r="G23" s="85" t="s">
        <v>1875</v>
      </c>
      <c r="H23" s="85" t="s">
        <v>56</v>
      </c>
      <c r="I23" s="85" t="s">
        <v>54</v>
      </c>
      <c r="J23" s="86" t="s">
        <v>56</v>
      </c>
      <c r="K23" s="84" t="s">
        <v>1876</v>
      </c>
      <c r="L23" s="85" t="s">
        <v>1506</v>
      </c>
      <c r="M23" s="86" t="s">
        <v>1876</v>
      </c>
    </row>
    <row r="24" spans="2:13" ht="17.25" customHeight="1">
      <c r="B24" s="546" t="s">
        <v>1877</v>
      </c>
      <c r="C24" s="547"/>
      <c r="D24" s="84"/>
      <c r="E24" s="85"/>
      <c r="F24" s="85" t="s">
        <v>510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1878</v>
      </c>
      <c r="C25" s="549"/>
      <c r="D25" s="87"/>
      <c r="E25" s="88" t="s">
        <v>1879</v>
      </c>
      <c r="F25" s="542" t="s">
        <v>1880</v>
      </c>
      <c r="G25" s="543"/>
      <c r="H25" s="88" t="s">
        <v>1881</v>
      </c>
      <c r="I25" s="88" t="s">
        <v>1882</v>
      </c>
      <c r="J25" s="89" t="s">
        <v>1881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1883</v>
      </c>
      <c r="B1" s="1"/>
      <c r="C1" s="2" t="s">
        <v>1884</v>
      </c>
      <c r="D1" s="3">
        <f>SUM(F5:F78)</f>
        <v>199802</v>
      </c>
      <c r="E1" s="364" t="s">
        <v>1885</v>
      </c>
      <c r="F1" s="1">
        <f>SUM(G5:G78)</f>
        <v>6965473.7699999996</v>
      </c>
      <c r="G1" s="1" t="s">
        <v>1886</v>
      </c>
      <c r="H1" s="4">
        <f>L7+L14+L55+L64+L24+L69+L41+L50+L32+L78</f>
        <v>156.24206349206349</v>
      </c>
      <c r="I1" s="654" t="s">
        <v>1887</v>
      </c>
      <c r="J1" s="654"/>
      <c r="K1" s="654"/>
      <c r="L1" s="654" t="s">
        <v>1888</v>
      </c>
      <c r="M1" s="654"/>
      <c r="N1" s="654"/>
      <c r="O1" s="654" t="s">
        <v>1889</v>
      </c>
      <c r="P1" s="654"/>
      <c r="Q1" s="654"/>
      <c r="R1" s="654"/>
      <c r="S1" s="654" t="s">
        <v>1890</v>
      </c>
      <c r="T1" s="654"/>
      <c r="U1" s="654"/>
      <c r="V1" s="654"/>
      <c r="W1" s="654"/>
      <c r="X1" s="654"/>
      <c r="Y1" s="5" t="s">
        <v>1891</v>
      </c>
      <c r="Z1" s="6" t="s">
        <v>1892</v>
      </c>
      <c r="AA1" s="655" t="s">
        <v>1893</v>
      </c>
      <c r="AB1" s="655"/>
      <c r="AC1" s="92" t="s">
        <v>1891</v>
      </c>
      <c r="AD1" s="6" t="s">
        <v>1894</v>
      </c>
      <c r="AE1" s="654" t="s">
        <v>1895</v>
      </c>
      <c r="AF1" s="656"/>
      <c r="AG1" s="656"/>
    </row>
    <row r="2" spans="1:33" ht="26.25" customHeight="1">
      <c r="A2" s="25">
        <v>46223</v>
      </c>
      <c r="B2" s="26" t="s">
        <v>598</v>
      </c>
      <c r="C2" s="2" t="s">
        <v>1860</v>
      </c>
      <c r="D2" s="8">
        <f>AVERAGE(N7,N14,N55,N64,N24,N69,N32,N41,N50,N78)</f>
        <v>150.35314926813342</v>
      </c>
      <c r="E2" s="9" t="s">
        <v>0</v>
      </c>
      <c r="F2" s="10">
        <f>F1/D1</f>
        <v>34.861882113292154</v>
      </c>
      <c r="G2" s="1" t="s">
        <v>1896</v>
      </c>
      <c r="H2" s="361">
        <f>COUNT(H5:H78)</f>
        <v>13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SUM(Y7+Y14+Y24+Y32+Y41+Y50+Y55+Y64+Y69+Y78)</f>
        <v>0</v>
      </c>
      <c r="Z2" s="11">
        <f>SUM(Z7+Z14+Z24+Z32+Z41+Z50+Z55+Z64+Z69+Z78)</f>
        <v>0</v>
      </c>
      <c r="AA2" s="655"/>
      <c r="AB2" s="655"/>
      <c r="AC2" s="11">
        <v>64</v>
      </c>
      <c r="AD2" s="11">
        <f>SUM(AD7+AD14+AD24+AD32+AD41+AD50+AD55+AD64+AD69+AD78)</f>
        <v>0</v>
      </c>
      <c r="AE2" s="656"/>
      <c r="AF2" s="656"/>
      <c r="AG2" s="656"/>
    </row>
    <row r="3" spans="1:33" ht="40.5" customHeight="1">
      <c r="A3" s="612" t="s">
        <v>1897</v>
      </c>
      <c r="B3" s="612" t="s">
        <v>1898</v>
      </c>
      <c r="C3" s="612" t="s">
        <v>1899</v>
      </c>
      <c r="D3" s="612"/>
      <c r="E3" s="652" t="s">
        <v>1900</v>
      </c>
      <c r="F3" s="612" t="s">
        <v>1901</v>
      </c>
      <c r="G3" s="652" t="s">
        <v>1902</v>
      </c>
      <c r="H3" s="645" t="s">
        <v>1903</v>
      </c>
      <c r="I3" s="644" t="s">
        <v>1904</v>
      </c>
      <c r="J3" s="641" t="s">
        <v>1905</v>
      </c>
      <c r="K3" s="650" t="s">
        <v>1860</v>
      </c>
      <c r="L3" s="644" t="s">
        <v>1904</v>
      </c>
      <c r="M3" s="641" t="s">
        <v>1905</v>
      </c>
      <c r="N3" s="650" t="s">
        <v>1860</v>
      </c>
      <c r="O3" s="644" t="s">
        <v>1904</v>
      </c>
      <c r="P3" s="650" t="s">
        <v>1860</v>
      </c>
      <c r="Q3" s="642" t="s">
        <v>1906</v>
      </c>
      <c r="R3" s="621" t="s">
        <v>1907</v>
      </c>
      <c r="S3" s="651" t="s">
        <v>1</v>
      </c>
      <c r="T3" s="651"/>
      <c r="U3" s="645" t="s">
        <v>2</v>
      </c>
      <c r="V3" s="645" t="s">
        <v>1908</v>
      </c>
      <c r="W3" s="612" t="s">
        <v>1909</v>
      </c>
      <c r="X3" s="612"/>
      <c r="Y3" s="646" t="s">
        <v>1910</v>
      </c>
      <c r="Z3" s="611"/>
      <c r="AA3" s="647" t="s">
        <v>1911</v>
      </c>
      <c r="AB3" s="648"/>
      <c r="AC3" s="646" t="s">
        <v>1912</v>
      </c>
      <c r="AD3" s="611"/>
      <c r="AE3" s="641" t="s">
        <v>1913</v>
      </c>
      <c r="AF3" s="642" t="s">
        <v>1914</v>
      </c>
      <c r="AG3" s="621" t="s">
        <v>1915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67" t="s">
        <v>3</v>
      </c>
      <c r="T4" s="367" t="s">
        <v>4</v>
      </c>
      <c r="U4" s="645"/>
      <c r="V4" s="645"/>
      <c r="W4" s="364" t="s">
        <v>1916</v>
      </c>
      <c r="X4" s="364" t="s">
        <v>1917</v>
      </c>
      <c r="Y4" s="366" t="s">
        <v>1918</v>
      </c>
      <c r="Z4" s="366" t="s">
        <v>1919</v>
      </c>
      <c r="AA4" s="649"/>
      <c r="AB4" s="648"/>
      <c r="AC4" s="366" t="s">
        <v>1920</v>
      </c>
      <c r="AD4" s="366" t="s">
        <v>1921</v>
      </c>
      <c r="AE4" s="641"/>
      <c r="AF4" s="642"/>
      <c r="AG4" s="621"/>
    </row>
    <row r="5" spans="1:33">
      <c r="A5" s="643" t="s">
        <v>1922</v>
      </c>
      <c r="B5" s="27" t="s">
        <v>5</v>
      </c>
      <c r="C5" s="657" t="s">
        <v>14</v>
      </c>
      <c r="D5" s="657"/>
      <c r="E5" s="27">
        <v>50.92</v>
      </c>
      <c r="F5" s="367">
        <v>2575</v>
      </c>
      <c r="G5" s="364">
        <f t="shared" ref="G5:G6" si="0">E5*F5</f>
        <v>131119</v>
      </c>
      <c r="H5" s="31" t="s">
        <v>40</v>
      </c>
      <c r="I5" s="362">
        <v>15</v>
      </c>
      <c r="J5" s="29">
        <v>2000</v>
      </c>
      <c r="K5" s="12">
        <f t="shared" ref="K5:K68" si="1">J5/I5</f>
        <v>133.33333333333334</v>
      </c>
      <c r="L5" s="362">
        <v>15</v>
      </c>
      <c r="M5" s="13">
        <f t="shared" ref="M5:M6" si="2">F5/V5*60</f>
        <v>1907.4074074074067</v>
      </c>
      <c r="N5" s="12">
        <f t="shared" ref="N5:N68" si="3">M5/L5</f>
        <v>127.16049382716045</v>
      </c>
      <c r="O5" s="14">
        <f t="shared" ref="O5:O68" si="4">L5-I5</f>
        <v>0</v>
      </c>
      <c r="P5" s="15">
        <f t="shared" ref="P5:P68" si="5">N5-K5</f>
        <v>-6.1728395061728918</v>
      </c>
      <c r="Q5" s="363">
        <f t="shared" ref="Q5:Q68" si="6">N5/K5</f>
        <v>0.95370370370370328</v>
      </c>
      <c r="R5" s="616">
        <f>Q7</f>
        <v>0.95507765830346458</v>
      </c>
      <c r="S5" s="32">
        <v>0.70833333333333337</v>
      </c>
      <c r="T5" s="32">
        <v>0.76458333333333339</v>
      </c>
      <c r="U5" s="364"/>
      <c r="V5" s="365">
        <f t="shared" ref="V5:V6" si="7">(T5-S5)*24*60</f>
        <v>81.000000000000028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63" si="8">M5-J5</f>
        <v>-92.592592592593292</v>
      </c>
      <c r="AF5" s="363">
        <f t="shared" ref="AF5:AF68" si="9">M5/J5</f>
        <v>0.95370370370370339</v>
      </c>
      <c r="AG5" s="616">
        <f>AF7</f>
        <v>0.95507765830346469</v>
      </c>
    </row>
    <row r="6" spans="1:33">
      <c r="A6" s="644" t="s">
        <v>1923</v>
      </c>
      <c r="B6" s="27" t="s">
        <v>5</v>
      </c>
      <c r="C6" s="657" t="s">
        <v>19</v>
      </c>
      <c r="D6" s="657"/>
      <c r="E6" s="27">
        <v>50.98</v>
      </c>
      <c r="F6" s="367">
        <v>2965</v>
      </c>
      <c r="G6" s="364">
        <f t="shared" si="0"/>
        <v>151155.69999999998</v>
      </c>
      <c r="H6" s="31" t="s">
        <v>40</v>
      </c>
      <c r="I6" s="362">
        <v>16</v>
      </c>
      <c r="J6" s="29">
        <v>2000</v>
      </c>
      <c r="K6" s="12">
        <f t="shared" si="1"/>
        <v>125</v>
      </c>
      <c r="L6" s="362">
        <v>16</v>
      </c>
      <c r="M6" s="13">
        <f t="shared" si="2"/>
        <v>1912.9032258064519</v>
      </c>
      <c r="N6" s="12">
        <f t="shared" si="3"/>
        <v>119.55645161290325</v>
      </c>
      <c r="O6" s="14">
        <f t="shared" si="4"/>
        <v>0</v>
      </c>
      <c r="P6" s="15">
        <f t="shared" si="5"/>
        <v>-5.4435483870967545</v>
      </c>
      <c r="Q6" s="363">
        <f t="shared" si="6"/>
        <v>0.956451612903226</v>
      </c>
      <c r="R6" s="616"/>
      <c r="S6" s="32">
        <v>0.77013888888888893</v>
      </c>
      <c r="T6" s="32">
        <v>0.83472222222222225</v>
      </c>
      <c r="U6" s="364">
        <f t="shared" ref="U6" si="10">IF(S6=TIME(17,0,0),"",(S6-T5)*24*60)</f>
        <v>7.9999999999999716</v>
      </c>
      <c r="V6" s="365">
        <f t="shared" si="7"/>
        <v>92.999999999999986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-87.096774193548072</v>
      </c>
      <c r="AF6" s="363">
        <f t="shared" si="9"/>
        <v>0.956451612903226</v>
      </c>
      <c r="AG6" s="616"/>
    </row>
    <row r="7" spans="1:33">
      <c r="A7" s="644" t="s">
        <v>1923</v>
      </c>
      <c r="B7" s="27" t="s">
        <v>1924</v>
      </c>
      <c r="C7" s="658"/>
      <c r="D7" s="658"/>
      <c r="E7" s="368"/>
      <c r="F7" s="28"/>
      <c r="G7" s="12"/>
      <c r="H7" s="367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1910.1553166069293</v>
      </c>
      <c r="N7" s="12">
        <f t="shared" si="3"/>
        <v>123.2358268778664</v>
      </c>
      <c r="O7" s="14">
        <f t="shared" si="4"/>
        <v>0</v>
      </c>
      <c r="P7" s="15">
        <f t="shared" si="5"/>
        <v>-5.7964311866497269</v>
      </c>
      <c r="Q7" s="363">
        <f t="shared" si="6"/>
        <v>0.95507765830346458</v>
      </c>
      <c r="R7" s="616"/>
      <c r="S7" s="32"/>
      <c r="T7" s="32"/>
      <c r="U7" s="364"/>
      <c r="V7" s="365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-89.844683393070682</v>
      </c>
      <c r="AF7" s="363">
        <f t="shared" si="9"/>
        <v>0.95507765830346469</v>
      </c>
      <c r="AG7" s="616"/>
    </row>
    <row r="8" spans="1:33" ht="15.75" customHeight="1">
      <c r="A8" s="640" t="s">
        <v>1925</v>
      </c>
      <c r="B8" s="27" t="s">
        <v>8</v>
      </c>
      <c r="C8" s="638" t="s">
        <v>10</v>
      </c>
      <c r="D8" s="639"/>
      <c r="E8" s="27">
        <v>39.799999999999997</v>
      </c>
      <c r="F8" s="367">
        <v>4000</v>
      </c>
      <c r="G8" s="364">
        <f t="shared" ref="G8:G13" si="11">E8*F8</f>
        <v>159200</v>
      </c>
      <c r="H8" s="31">
        <v>2</v>
      </c>
      <c r="I8" s="362">
        <v>17</v>
      </c>
      <c r="J8" s="29">
        <v>1500</v>
      </c>
      <c r="K8" s="12">
        <f t="shared" si="1"/>
        <v>88.235294117647058</v>
      </c>
      <c r="L8" s="362">
        <v>17</v>
      </c>
      <c r="M8" s="13">
        <f t="shared" ref="M8:M13" si="12">F8/V8*60</f>
        <v>1437.1257485029942</v>
      </c>
      <c r="N8" s="12">
        <f t="shared" si="3"/>
        <v>84.536808735470245</v>
      </c>
      <c r="O8" s="14">
        <f t="shared" si="4"/>
        <v>0</v>
      </c>
      <c r="P8" s="15">
        <f t="shared" si="5"/>
        <v>-3.6984853821768127</v>
      </c>
      <c r="Q8" s="363">
        <f t="shared" si="6"/>
        <v>0.95808383233532945</v>
      </c>
      <c r="R8" s="616">
        <f>Q14</f>
        <v>0.95603719784507157</v>
      </c>
      <c r="S8" s="32">
        <v>8.3333333333333329E-2</v>
      </c>
      <c r="T8" s="32">
        <v>0.19930555555555554</v>
      </c>
      <c r="U8" s="364"/>
      <c r="V8" s="365">
        <f t="shared" ref="V8:V13" si="13">(T8-S8)*24*60</f>
        <v>167</v>
      </c>
      <c r="W8" s="16">
        <f>T8</f>
        <v>0.19930555555555554</v>
      </c>
      <c r="X8" s="16">
        <f>S9</f>
        <v>0.21875</v>
      </c>
      <c r="Y8" s="16"/>
      <c r="Z8" s="16"/>
      <c r="AA8" s="612"/>
      <c r="AB8" s="612"/>
      <c r="AC8" s="18">
        <v>6</v>
      </c>
      <c r="AD8" s="18"/>
      <c r="AE8" s="14">
        <f t="shared" si="8"/>
        <v>-62.874251497005844</v>
      </c>
      <c r="AF8" s="363">
        <f t="shared" si="9"/>
        <v>0.95808383233532945</v>
      </c>
      <c r="AG8" s="616">
        <f>AF14</f>
        <v>0.95603719784507168</v>
      </c>
    </row>
    <row r="9" spans="1:33" ht="15.75" customHeight="1">
      <c r="A9" s="640" t="s">
        <v>1925</v>
      </c>
      <c r="B9" s="27" t="s">
        <v>8</v>
      </c>
      <c r="C9" s="638" t="s">
        <v>63</v>
      </c>
      <c r="D9" s="639"/>
      <c r="E9" s="27">
        <v>39.46</v>
      </c>
      <c r="F9" s="367">
        <v>3718</v>
      </c>
      <c r="G9" s="364">
        <f t="shared" si="11"/>
        <v>146712.28</v>
      </c>
      <c r="H9" s="31" t="s">
        <v>40</v>
      </c>
      <c r="I9" s="362">
        <v>15</v>
      </c>
      <c r="J9" s="29">
        <v>1500</v>
      </c>
      <c r="K9" s="12">
        <f t="shared" si="1"/>
        <v>100</v>
      </c>
      <c r="L9" s="362">
        <v>15</v>
      </c>
      <c r="M9" s="13">
        <f t="shared" si="12"/>
        <v>1430</v>
      </c>
      <c r="N9" s="12">
        <f t="shared" si="3"/>
        <v>95.333333333333329</v>
      </c>
      <c r="O9" s="14">
        <f t="shared" si="4"/>
        <v>0</v>
      </c>
      <c r="P9" s="15">
        <f t="shared" si="5"/>
        <v>-4.6666666666666714</v>
      </c>
      <c r="Q9" s="363">
        <f t="shared" si="6"/>
        <v>0.95333333333333325</v>
      </c>
      <c r="R9" s="616"/>
      <c r="S9" s="32">
        <v>0.21875</v>
      </c>
      <c r="T9" s="32">
        <v>0.32708333333333334</v>
      </c>
      <c r="U9" s="364">
        <f t="shared" ref="U9:U13" si="14">IF(S9=TIME(17,0,0),"",(S9-T8)*24*60)</f>
        <v>28.000000000000021</v>
      </c>
      <c r="V9" s="365">
        <f t="shared" si="13"/>
        <v>156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-70</v>
      </c>
      <c r="AF9" s="363">
        <f t="shared" si="9"/>
        <v>0.95333333333333337</v>
      </c>
      <c r="AG9" s="616"/>
    </row>
    <row r="10" spans="1:33" ht="15.75" customHeight="1">
      <c r="A10" s="640" t="s">
        <v>1925</v>
      </c>
      <c r="B10" s="27" t="s">
        <v>8</v>
      </c>
      <c r="C10" s="638" t="s">
        <v>74</v>
      </c>
      <c r="D10" s="639"/>
      <c r="E10" s="27">
        <v>39.520000000000003</v>
      </c>
      <c r="F10" s="367">
        <v>3014</v>
      </c>
      <c r="G10" s="364">
        <f t="shared" si="11"/>
        <v>119113.28000000001</v>
      </c>
      <c r="H10" s="31" t="s">
        <v>40</v>
      </c>
      <c r="I10" s="362">
        <v>19</v>
      </c>
      <c r="J10" s="29">
        <v>1500</v>
      </c>
      <c r="K10" s="12">
        <f t="shared" si="1"/>
        <v>78.94736842105263</v>
      </c>
      <c r="L10" s="362">
        <v>19</v>
      </c>
      <c r="M10" s="13">
        <f t="shared" si="12"/>
        <v>1435.2380952380947</v>
      </c>
      <c r="N10" s="12">
        <f t="shared" si="3"/>
        <v>75.538847117794461</v>
      </c>
      <c r="O10" s="14">
        <f t="shared" si="4"/>
        <v>0</v>
      </c>
      <c r="P10" s="15">
        <f t="shared" si="5"/>
        <v>-3.4085213032581692</v>
      </c>
      <c r="Q10" s="363">
        <f t="shared" si="6"/>
        <v>0.95682539682539647</v>
      </c>
      <c r="R10" s="616"/>
      <c r="S10" s="32">
        <v>0.33055555555555555</v>
      </c>
      <c r="T10" s="32">
        <v>0.41805555555555557</v>
      </c>
      <c r="U10" s="364">
        <f t="shared" si="14"/>
        <v>4.9999999999999822</v>
      </c>
      <c r="V10" s="365">
        <f t="shared" si="13"/>
        <v>126.00000000000003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-64.761904761905271</v>
      </c>
      <c r="AF10" s="363">
        <f t="shared" si="9"/>
        <v>0.95682539682539647</v>
      </c>
      <c r="AG10" s="616"/>
    </row>
    <row r="11" spans="1:33" ht="15.75" customHeight="1">
      <c r="A11" s="640" t="s">
        <v>1925</v>
      </c>
      <c r="B11" s="27" t="s">
        <v>8</v>
      </c>
      <c r="C11" s="638" t="s">
        <v>9</v>
      </c>
      <c r="D11" s="639"/>
      <c r="E11" s="27">
        <v>39.619999999999997</v>
      </c>
      <c r="F11" s="367">
        <v>2800</v>
      </c>
      <c r="G11" s="364">
        <f t="shared" si="11"/>
        <v>110936</v>
      </c>
      <c r="H11" s="31">
        <v>2</v>
      </c>
      <c r="I11" s="362">
        <v>19</v>
      </c>
      <c r="J11" s="29">
        <v>1500</v>
      </c>
      <c r="K11" s="12">
        <f t="shared" si="1"/>
        <v>78.94736842105263</v>
      </c>
      <c r="L11" s="362">
        <v>19</v>
      </c>
      <c r="M11" s="13">
        <f t="shared" si="12"/>
        <v>1435.897435897436</v>
      </c>
      <c r="N11" s="12">
        <f t="shared" si="3"/>
        <v>75.573549257759794</v>
      </c>
      <c r="O11" s="14">
        <f t="shared" si="4"/>
        <v>0</v>
      </c>
      <c r="P11" s="15">
        <f t="shared" si="5"/>
        <v>-3.3738191632928363</v>
      </c>
      <c r="Q11" s="363">
        <f t="shared" si="6"/>
        <v>0.95726495726495742</v>
      </c>
      <c r="R11" s="616"/>
      <c r="S11" s="32">
        <v>0.42152777777777778</v>
      </c>
      <c r="T11" s="32">
        <v>0.50277777777777777</v>
      </c>
      <c r="U11" s="364">
        <f t="shared" si="14"/>
        <v>4.9999999999999822</v>
      </c>
      <c r="V11" s="365">
        <f t="shared" si="13"/>
        <v>116.99999999999999</v>
      </c>
      <c r="W11" s="16">
        <f>T11</f>
        <v>0.50277777777777777</v>
      </c>
      <c r="X11" s="16">
        <f>S12</f>
        <v>0.54305555555555551</v>
      </c>
      <c r="Y11" s="16"/>
      <c r="Z11" s="16"/>
      <c r="AA11" s="607"/>
      <c r="AB11" s="608"/>
      <c r="AC11" s="18"/>
      <c r="AD11" s="18"/>
      <c r="AE11" s="14">
        <f t="shared" si="8"/>
        <v>-64.102564102563974</v>
      </c>
      <c r="AF11" s="363">
        <f t="shared" si="9"/>
        <v>0.95726495726495731</v>
      </c>
      <c r="AG11" s="616"/>
    </row>
    <row r="12" spans="1:33" ht="15.75" customHeight="1">
      <c r="A12" s="640" t="s">
        <v>1925</v>
      </c>
      <c r="B12" s="27" t="s">
        <v>8</v>
      </c>
      <c r="C12" s="638" t="s">
        <v>10</v>
      </c>
      <c r="D12" s="639"/>
      <c r="E12" s="27">
        <v>39.799999999999997</v>
      </c>
      <c r="F12" s="367">
        <v>3150</v>
      </c>
      <c r="G12" s="364">
        <f t="shared" si="11"/>
        <v>125369.99999999999</v>
      </c>
      <c r="H12" s="31" t="s">
        <v>40</v>
      </c>
      <c r="I12" s="362">
        <v>17</v>
      </c>
      <c r="J12" s="29">
        <v>1500</v>
      </c>
      <c r="K12" s="12">
        <f t="shared" si="1"/>
        <v>88.235294117647058</v>
      </c>
      <c r="L12" s="362">
        <v>17</v>
      </c>
      <c r="M12" s="13">
        <f t="shared" si="12"/>
        <v>1431.8181818181818</v>
      </c>
      <c r="N12" s="12">
        <f t="shared" si="3"/>
        <v>84.224598930481278</v>
      </c>
      <c r="O12" s="14">
        <f t="shared" si="4"/>
        <v>0</v>
      </c>
      <c r="P12" s="15">
        <f t="shared" si="5"/>
        <v>-4.0106951871657799</v>
      </c>
      <c r="Q12" s="363">
        <f t="shared" si="6"/>
        <v>0.95454545454545447</v>
      </c>
      <c r="R12" s="616"/>
      <c r="S12" s="32">
        <v>0.54305555555555551</v>
      </c>
      <c r="T12" s="32">
        <v>0.63472222222222219</v>
      </c>
      <c r="U12" s="364">
        <f t="shared" si="14"/>
        <v>57.999999999999957</v>
      </c>
      <c r="V12" s="365">
        <f t="shared" si="13"/>
        <v>132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-68.181818181818244</v>
      </c>
      <c r="AF12" s="363">
        <f t="shared" si="9"/>
        <v>0.95454545454545447</v>
      </c>
      <c r="AG12" s="616"/>
    </row>
    <row r="13" spans="1:33" ht="15.75" customHeight="1">
      <c r="A13" s="640" t="s">
        <v>1925</v>
      </c>
      <c r="B13" s="27" t="s">
        <v>8</v>
      </c>
      <c r="C13" s="638" t="s">
        <v>9</v>
      </c>
      <c r="D13" s="639"/>
      <c r="E13" s="27">
        <v>39.619999999999997</v>
      </c>
      <c r="F13" s="367">
        <v>2247</v>
      </c>
      <c r="G13" s="364">
        <f t="shared" si="11"/>
        <v>89026.14</v>
      </c>
      <c r="H13" s="31" t="s">
        <v>40</v>
      </c>
      <c r="I13" s="362">
        <v>19</v>
      </c>
      <c r="J13" s="29">
        <v>1500</v>
      </c>
      <c r="K13" s="12">
        <f t="shared" si="1"/>
        <v>78.94736842105263</v>
      </c>
      <c r="L13" s="362">
        <v>19</v>
      </c>
      <c r="M13" s="13">
        <f t="shared" si="12"/>
        <v>1434.2553191489365</v>
      </c>
      <c r="N13" s="12">
        <f t="shared" si="3"/>
        <v>75.487122060470341</v>
      </c>
      <c r="O13" s="14">
        <f t="shared" si="4"/>
        <v>0</v>
      </c>
      <c r="P13" s="15">
        <f t="shared" si="5"/>
        <v>-3.4602463605822891</v>
      </c>
      <c r="Q13" s="363">
        <f t="shared" si="6"/>
        <v>0.95617021276595771</v>
      </c>
      <c r="R13" s="616"/>
      <c r="S13" s="32">
        <v>0.64027777777777772</v>
      </c>
      <c r="T13" s="32">
        <v>0.70555555555555549</v>
      </c>
      <c r="U13" s="364">
        <f t="shared" si="14"/>
        <v>7.9999999999999716</v>
      </c>
      <c r="V13" s="365">
        <f t="shared" si="13"/>
        <v>93.999999999999986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-65.744680851063549</v>
      </c>
      <c r="AF13" s="363">
        <f t="shared" si="9"/>
        <v>0.95617021276595759</v>
      </c>
      <c r="AG13" s="616"/>
    </row>
    <row r="14" spans="1:33" ht="16.5" customHeight="1">
      <c r="A14" s="640" t="s">
        <v>1925</v>
      </c>
      <c r="B14" s="27" t="s">
        <v>1924</v>
      </c>
      <c r="C14" s="658"/>
      <c r="D14" s="658"/>
      <c r="E14" s="368"/>
      <c r="F14" s="29"/>
      <c r="G14" s="13"/>
      <c r="H14" s="367"/>
      <c r="I14" s="21">
        <v>17.666666666666668</v>
      </c>
      <c r="J14" s="29">
        <v>1500</v>
      </c>
      <c r="K14" s="12">
        <f t="shared" si="1"/>
        <v>84.905660377358487</v>
      </c>
      <c r="L14" s="21">
        <v>17.666666666666668</v>
      </c>
      <c r="M14" s="13">
        <f>AVERAGE(M8:M13)</f>
        <v>1434.0557967676075</v>
      </c>
      <c r="N14" s="12">
        <f t="shared" si="3"/>
        <v>81.172969628355133</v>
      </c>
      <c r="O14" s="14">
        <f t="shared" si="4"/>
        <v>0</v>
      </c>
      <c r="P14" s="15">
        <f t="shared" si="5"/>
        <v>-3.7326907490033534</v>
      </c>
      <c r="Q14" s="363">
        <f t="shared" si="6"/>
        <v>0.95603719784507157</v>
      </c>
      <c r="R14" s="616"/>
      <c r="S14" s="32"/>
      <c r="T14" s="32"/>
      <c r="U14" s="12"/>
      <c r="V14" s="365"/>
      <c r="W14" s="12"/>
      <c r="X14" s="12"/>
      <c r="Y14" s="22">
        <f>SUM(Y8:Y13)</f>
        <v>0</v>
      </c>
      <c r="Z14" s="22">
        <f>SUM(Z8:Z13)</f>
        <v>0</v>
      </c>
      <c r="AA14" s="611"/>
      <c r="AB14" s="611"/>
      <c r="AC14" s="22">
        <v>6</v>
      </c>
      <c r="AD14" s="22">
        <f>SUM(AD8:AD13)</f>
        <v>0</v>
      </c>
      <c r="AE14" s="14">
        <f t="shared" si="8"/>
        <v>-65.94420323239251</v>
      </c>
      <c r="AF14" s="363">
        <f t="shared" si="9"/>
        <v>0.95603719784507168</v>
      </c>
      <c r="AG14" s="616"/>
    </row>
    <row r="15" spans="1:33" ht="16.5" customHeight="1">
      <c r="A15" s="636" t="s">
        <v>1926</v>
      </c>
      <c r="B15" s="367" t="s">
        <v>1134</v>
      </c>
      <c r="C15" s="659" t="s">
        <v>1035</v>
      </c>
      <c r="D15" s="659"/>
      <c r="E15" s="27">
        <v>31.11</v>
      </c>
      <c r="F15" s="367">
        <v>3488</v>
      </c>
      <c r="G15" s="364">
        <f t="shared" ref="G15:G23" si="15">E15*F15</f>
        <v>108511.67999999999</v>
      </c>
      <c r="H15" s="31" t="s">
        <v>40</v>
      </c>
      <c r="I15" s="362">
        <v>14</v>
      </c>
      <c r="J15" s="29">
        <v>2000</v>
      </c>
      <c r="K15" s="12">
        <f t="shared" si="1"/>
        <v>142.85714285714286</v>
      </c>
      <c r="L15" s="362">
        <v>14</v>
      </c>
      <c r="M15" s="13">
        <f t="shared" ref="M15:M23" si="16">F15/V15*60</f>
        <v>1920.0000000000005</v>
      </c>
      <c r="N15" s="12">
        <f t="shared" si="3"/>
        <v>137.14285714285717</v>
      </c>
      <c r="O15" s="14">
        <f t="shared" si="4"/>
        <v>0</v>
      </c>
      <c r="P15" s="15">
        <f t="shared" si="5"/>
        <v>-5.714285714285694</v>
      </c>
      <c r="Q15" s="363">
        <f t="shared" si="6"/>
        <v>0.96000000000000019</v>
      </c>
      <c r="R15" s="616">
        <f>Q24</f>
        <v>0.96147408613641305</v>
      </c>
      <c r="S15" s="32">
        <v>8.3333333333333329E-2</v>
      </c>
      <c r="T15" s="32">
        <v>0.15902777777777777</v>
      </c>
      <c r="U15" s="364"/>
      <c r="V15" s="365">
        <f t="shared" ref="V15:V23" si="17">(T15-S15)*24*60</f>
        <v>108.99999999999999</v>
      </c>
      <c r="W15" s="16">
        <f>T15</f>
        <v>0.15902777777777777</v>
      </c>
      <c r="X15" s="16">
        <f>S16</f>
        <v>0.1784722222222222</v>
      </c>
      <c r="Y15" s="20"/>
      <c r="Z15" s="20"/>
      <c r="AA15" s="612"/>
      <c r="AB15" s="612"/>
      <c r="AC15" s="18">
        <v>9</v>
      </c>
      <c r="AD15" s="18"/>
      <c r="AE15" s="14">
        <f t="shared" si="8"/>
        <v>-79.999999999999545</v>
      </c>
      <c r="AF15" s="363">
        <f t="shared" si="9"/>
        <v>0.96000000000000019</v>
      </c>
      <c r="AG15" s="616">
        <f>AF24</f>
        <v>0.96147408613641305</v>
      </c>
    </row>
    <row r="16" spans="1:33" ht="16.5" customHeight="1">
      <c r="A16" s="637" t="s">
        <v>1926</v>
      </c>
      <c r="B16" s="367" t="s">
        <v>1134</v>
      </c>
      <c r="C16" s="659" t="s">
        <v>1036</v>
      </c>
      <c r="D16" s="659"/>
      <c r="E16" s="27">
        <v>38.99</v>
      </c>
      <c r="F16" s="367">
        <v>1605</v>
      </c>
      <c r="G16" s="364">
        <f t="shared" si="15"/>
        <v>62578.950000000004</v>
      </c>
      <c r="H16" s="31" t="s">
        <v>40</v>
      </c>
      <c r="I16" s="362">
        <v>14</v>
      </c>
      <c r="J16" s="29">
        <v>2000</v>
      </c>
      <c r="K16" s="12">
        <f t="shared" si="1"/>
        <v>142.85714285714286</v>
      </c>
      <c r="L16" s="362">
        <v>14</v>
      </c>
      <c r="M16" s="13">
        <f t="shared" si="16"/>
        <v>1926.0000000000005</v>
      </c>
      <c r="N16" s="12">
        <f t="shared" si="3"/>
        <v>137.57142857142861</v>
      </c>
      <c r="O16" s="14">
        <f t="shared" si="4"/>
        <v>0</v>
      </c>
      <c r="P16" s="15">
        <f t="shared" si="5"/>
        <v>-5.2857142857142492</v>
      </c>
      <c r="Q16" s="363">
        <f t="shared" si="6"/>
        <v>0.9630000000000003</v>
      </c>
      <c r="R16" s="616"/>
      <c r="S16" s="32">
        <v>0.1784722222222222</v>
      </c>
      <c r="T16" s="32">
        <v>0.21319444444444441</v>
      </c>
      <c r="U16" s="364">
        <f t="shared" ref="U16:U23" si="18">IF(S16=TIME(17,0,0),"",(S16-T15)*24*60)</f>
        <v>27.999999999999979</v>
      </c>
      <c r="V16" s="365">
        <f t="shared" si="17"/>
        <v>49.999999999999986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-73.999999999999545</v>
      </c>
      <c r="AF16" s="363">
        <f t="shared" si="9"/>
        <v>0.96300000000000019</v>
      </c>
      <c r="AG16" s="616"/>
    </row>
    <row r="17" spans="1:33" ht="16.5" customHeight="1">
      <c r="A17" s="637" t="s">
        <v>1926</v>
      </c>
      <c r="B17" s="367" t="s">
        <v>11</v>
      </c>
      <c r="C17" s="659" t="s">
        <v>67</v>
      </c>
      <c r="D17" s="659"/>
      <c r="E17" s="27">
        <v>38.619999999999997</v>
      </c>
      <c r="F17" s="367">
        <v>2571</v>
      </c>
      <c r="G17" s="364">
        <f t="shared" si="15"/>
        <v>99292.01999999999</v>
      </c>
      <c r="H17" s="31" t="s">
        <v>40</v>
      </c>
      <c r="I17" s="362">
        <v>24</v>
      </c>
      <c r="J17" s="29">
        <v>1500</v>
      </c>
      <c r="K17" s="12">
        <f t="shared" si="1"/>
        <v>62.5</v>
      </c>
      <c r="L17" s="362">
        <v>24</v>
      </c>
      <c r="M17" s="13">
        <f t="shared" si="16"/>
        <v>1428.3333333333337</v>
      </c>
      <c r="N17" s="12">
        <f t="shared" si="3"/>
        <v>59.513888888888907</v>
      </c>
      <c r="O17" s="14">
        <f t="shared" si="4"/>
        <v>0</v>
      </c>
      <c r="P17" s="15">
        <f t="shared" si="5"/>
        <v>-2.986111111111093</v>
      </c>
      <c r="Q17" s="363">
        <f t="shared" si="6"/>
        <v>0.95222222222222253</v>
      </c>
      <c r="R17" s="616"/>
      <c r="S17" s="32">
        <v>0.21736111111111109</v>
      </c>
      <c r="T17" s="32">
        <v>0.29236111111111107</v>
      </c>
      <c r="U17" s="364">
        <f t="shared" si="18"/>
        <v>6.0000000000000187</v>
      </c>
      <c r="V17" s="365">
        <f t="shared" si="17"/>
        <v>107.99999999999997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-71.666666666666288</v>
      </c>
      <c r="AF17" s="363">
        <f t="shared" si="9"/>
        <v>0.95222222222222253</v>
      </c>
      <c r="AG17" s="616"/>
    </row>
    <row r="18" spans="1:33" ht="16.5" customHeight="1">
      <c r="A18" s="637" t="s">
        <v>1926</v>
      </c>
      <c r="B18" s="367" t="s">
        <v>11</v>
      </c>
      <c r="C18" s="659" t="s">
        <v>12</v>
      </c>
      <c r="D18" s="659"/>
      <c r="E18" s="27">
        <v>41</v>
      </c>
      <c r="F18" s="367">
        <v>2313</v>
      </c>
      <c r="G18" s="364">
        <f t="shared" si="15"/>
        <v>94833</v>
      </c>
      <c r="H18" s="31" t="s">
        <v>40</v>
      </c>
      <c r="I18" s="362">
        <v>26</v>
      </c>
      <c r="J18" s="29">
        <v>1500</v>
      </c>
      <c r="K18" s="12">
        <f t="shared" si="1"/>
        <v>57.692307692307693</v>
      </c>
      <c r="L18" s="362">
        <v>26</v>
      </c>
      <c r="M18" s="13">
        <f t="shared" si="16"/>
        <v>1430.7216494845366</v>
      </c>
      <c r="N18" s="12">
        <f t="shared" si="3"/>
        <v>55.027755749405252</v>
      </c>
      <c r="O18" s="14">
        <f t="shared" si="4"/>
        <v>0</v>
      </c>
      <c r="P18" s="15">
        <f t="shared" si="5"/>
        <v>-2.6645519429024418</v>
      </c>
      <c r="Q18" s="363">
        <f t="shared" si="6"/>
        <v>0.95381443298969104</v>
      </c>
      <c r="R18" s="616"/>
      <c r="S18" s="32">
        <v>0.29583333333333328</v>
      </c>
      <c r="T18" s="32">
        <v>0.36319444444444438</v>
      </c>
      <c r="U18" s="364">
        <f t="shared" si="18"/>
        <v>4.9999999999999822</v>
      </c>
      <c r="V18" s="365">
        <f t="shared" si="17"/>
        <v>96.999999999999972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-69.278350515463444</v>
      </c>
      <c r="AF18" s="363">
        <f t="shared" si="9"/>
        <v>0.95381443298969104</v>
      </c>
      <c r="AG18" s="616"/>
    </row>
    <row r="19" spans="1:33" ht="16.5" customHeight="1">
      <c r="A19" s="637" t="s">
        <v>1926</v>
      </c>
      <c r="B19" s="367" t="s">
        <v>5</v>
      </c>
      <c r="C19" s="659" t="s">
        <v>66</v>
      </c>
      <c r="D19" s="659"/>
      <c r="E19" s="27">
        <v>37.03</v>
      </c>
      <c r="F19" s="367">
        <v>3609</v>
      </c>
      <c r="G19" s="364">
        <f t="shared" si="15"/>
        <v>133641.27000000002</v>
      </c>
      <c r="H19" s="31" t="s">
        <v>40</v>
      </c>
      <c r="I19" s="362">
        <v>13</v>
      </c>
      <c r="J19" s="29">
        <v>1500</v>
      </c>
      <c r="K19" s="12">
        <f t="shared" si="1"/>
        <v>115.38461538461539</v>
      </c>
      <c r="L19" s="362">
        <v>13</v>
      </c>
      <c r="M19" s="13">
        <f t="shared" si="16"/>
        <v>1434.0397350993376</v>
      </c>
      <c r="N19" s="12">
        <f t="shared" si="3"/>
        <v>110.3107488537952</v>
      </c>
      <c r="O19" s="14">
        <f t="shared" si="4"/>
        <v>0</v>
      </c>
      <c r="P19" s="15">
        <f t="shared" si="5"/>
        <v>-5.0738665308201831</v>
      </c>
      <c r="Q19" s="363">
        <f t="shared" si="6"/>
        <v>0.95602649006622509</v>
      </c>
      <c r="R19" s="616"/>
      <c r="S19" s="32">
        <v>0.36666666666666659</v>
      </c>
      <c r="T19" s="32">
        <v>0.47152777777777771</v>
      </c>
      <c r="U19" s="364">
        <f t="shared" si="18"/>
        <v>4.9999999999999822</v>
      </c>
      <c r="V19" s="365">
        <f t="shared" si="17"/>
        <v>151.00000000000003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-65.960264900662423</v>
      </c>
      <c r="AF19" s="363">
        <f t="shared" si="9"/>
        <v>0.95602649006622509</v>
      </c>
      <c r="AG19" s="616"/>
    </row>
    <row r="20" spans="1:33" ht="16.5" customHeight="1">
      <c r="A20" s="637" t="s">
        <v>1926</v>
      </c>
      <c r="B20" s="367" t="s">
        <v>5</v>
      </c>
      <c r="C20" s="374" t="s">
        <v>6</v>
      </c>
      <c r="D20" s="375"/>
      <c r="E20" s="27">
        <v>50.67</v>
      </c>
      <c r="F20" s="367">
        <v>1899</v>
      </c>
      <c r="G20" s="364">
        <f t="shared" si="15"/>
        <v>96222.33</v>
      </c>
      <c r="H20" s="31" t="s">
        <v>40</v>
      </c>
      <c r="I20" s="362">
        <v>17</v>
      </c>
      <c r="J20" s="29">
        <v>2000</v>
      </c>
      <c r="K20" s="12">
        <f t="shared" si="1"/>
        <v>117.64705882352941</v>
      </c>
      <c r="L20" s="362">
        <v>17</v>
      </c>
      <c r="M20" s="13">
        <f t="shared" si="16"/>
        <v>1931.186440677968</v>
      </c>
      <c r="N20" s="12">
        <f t="shared" si="3"/>
        <v>113.59920239282165</v>
      </c>
      <c r="O20" s="14">
        <f t="shared" si="4"/>
        <v>0</v>
      </c>
      <c r="P20" s="15">
        <f t="shared" si="5"/>
        <v>-4.0478564307077534</v>
      </c>
      <c r="Q20" s="363">
        <f t="shared" si="6"/>
        <v>0.96559322033898409</v>
      </c>
      <c r="R20" s="616"/>
      <c r="S20" s="32">
        <v>0.70833333333333337</v>
      </c>
      <c r="T20" s="32">
        <v>0.74930555555555556</v>
      </c>
      <c r="U20" s="364" t="str">
        <f t="shared" si="18"/>
        <v/>
      </c>
      <c r="V20" s="365">
        <f t="shared" si="17"/>
        <v>58.99999999999995</v>
      </c>
      <c r="W20" s="16"/>
      <c r="X20" s="16"/>
      <c r="Y20" s="19"/>
      <c r="Z20" s="19"/>
      <c r="AA20" s="369"/>
      <c r="AB20" s="370"/>
      <c r="AC20" s="18"/>
      <c r="AD20" s="18"/>
      <c r="AE20" s="14">
        <f t="shared" si="8"/>
        <v>-68.813559322032006</v>
      </c>
      <c r="AF20" s="363">
        <f t="shared" si="9"/>
        <v>0.96559322033898398</v>
      </c>
      <c r="AG20" s="616"/>
    </row>
    <row r="21" spans="1:33" ht="16.5" customHeight="1">
      <c r="A21" s="637" t="s">
        <v>1926</v>
      </c>
      <c r="B21" s="367" t="s">
        <v>5</v>
      </c>
      <c r="C21" s="374" t="s">
        <v>615</v>
      </c>
      <c r="D21" s="375"/>
      <c r="E21" s="27">
        <v>54.5</v>
      </c>
      <c r="F21" s="367">
        <v>1000</v>
      </c>
      <c r="G21" s="364">
        <f t="shared" si="15"/>
        <v>54500</v>
      </c>
      <c r="H21" s="31">
        <v>2</v>
      </c>
      <c r="I21" s="362">
        <v>20</v>
      </c>
      <c r="J21" s="29">
        <v>1500</v>
      </c>
      <c r="K21" s="12">
        <f t="shared" si="1"/>
        <v>75</v>
      </c>
      <c r="L21" s="362">
        <v>20</v>
      </c>
      <c r="M21" s="13">
        <f t="shared" si="16"/>
        <v>1463.4146341463411</v>
      </c>
      <c r="N21" s="12">
        <f t="shared" si="3"/>
        <v>73.17073170731706</v>
      </c>
      <c r="O21" s="14">
        <f t="shared" si="4"/>
        <v>0</v>
      </c>
      <c r="P21" s="15">
        <f t="shared" si="5"/>
        <v>-1.82926829268294</v>
      </c>
      <c r="Q21" s="363">
        <f t="shared" si="6"/>
        <v>0.97560975609756084</v>
      </c>
      <c r="R21" s="616"/>
      <c r="S21" s="32">
        <v>0.75277777777777777</v>
      </c>
      <c r="T21" s="32">
        <v>0.78125</v>
      </c>
      <c r="U21" s="364">
        <f t="shared" si="18"/>
        <v>4.9999999999999822</v>
      </c>
      <c r="V21" s="365">
        <f t="shared" si="17"/>
        <v>41.000000000000014</v>
      </c>
      <c r="W21" s="16"/>
      <c r="X21" s="16"/>
      <c r="Y21" s="19"/>
      <c r="Z21" s="19"/>
      <c r="AA21" s="369"/>
      <c r="AB21" s="370"/>
      <c r="AC21" s="18"/>
      <c r="AD21" s="18"/>
      <c r="AE21" s="14">
        <f t="shared" si="8"/>
        <v>-36.585365853658914</v>
      </c>
      <c r="AF21" s="363">
        <f t="shared" si="9"/>
        <v>0.97560975609756073</v>
      </c>
      <c r="AG21" s="616"/>
    </row>
    <row r="22" spans="1:33" ht="16.5" customHeight="1">
      <c r="A22" s="637" t="s">
        <v>1926</v>
      </c>
      <c r="B22" s="367" t="s">
        <v>5</v>
      </c>
      <c r="C22" s="374" t="s">
        <v>18</v>
      </c>
      <c r="D22" s="375"/>
      <c r="E22" s="27">
        <v>50.49</v>
      </c>
      <c r="F22" s="367">
        <v>1897</v>
      </c>
      <c r="G22" s="364">
        <f t="shared" si="15"/>
        <v>95779.53</v>
      </c>
      <c r="H22" s="31" t="s">
        <v>40</v>
      </c>
      <c r="I22" s="362">
        <v>15</v>
      </c>
      <c r="J22" s="29">
        <v>2000</v>
      </c>
      <c r="K22" s="12">
        <f t="shared" si="1"/>
        <v>133.33333333333334</v>
      </c>
      <c r="L22" s="362">
        <v>15</v>
      </c>
      <c r="M22" s="13">
        <f t="shared" si="16"/>
        <v>1929.1525423728831</v>
      </c>
      <c r="N22" s="12">
        <f t="shared" si="3"/>
        <v>128.61016949152554</v>
      </c>
      <c r="O22" s="14">
        <f t="shared" si="4"/>
        <v>0</v>
      </c>
      <c r="P22" s="15">
        <f t="shared" si="5"/>
        <v>-4.7231638418078035</v>
      </c>
      <c r="Q22" s="363">
        <f t="shared" si="6"/>
        <v>0.96457627118644151</v>
      </c>
      <c r="R22" s="616"/>
      <c r="S22" s="32">
        <v>0.78472222222222221</v>
      </c>
      <c r="T22" s="32">
        <v>0.8256944444444444</v>
      </c>
      <c r="U22" s="364">
        <f t="shared" si="18"/>
        <v>4.9999999999999822</v>
      </c>
      <c r="V22" s="365">
        <f t="shared" si="17"/>
        <v>58.99999999999995</v>
      </c>
      <c r="W22" s="16">
        <f>T22</f>
        <v>0.8256944444444444</v>
      </c>
      <c r="X22" s="16">
        <f>S23</f>
        <v>0.86458333333333326</v>
      </c>
      <c r="Y22" s="19"/>
      <c r="Z22" s="19"/>
      <c r="AA22" s="369"/>
      <c r="AB22" s="370"/>
      <c r="AC22" s="18"/>
      <c r="AD22" s="18"/>
      <c r="AE22" s="14">
        <f t="shared" si="8"/>
        <v>-70.84745762711691</v>
      </c>
      <c r="AF22" s="363">
        <f t="shared" si="9"/>
        <v>0.96457627118644151</v>
      </c>
      <c r="AG22" s="616"/>
    </row>
    <row r="23" spans="1:33" ht="16.5" customHeight="1">
      <c r="A23" s="637" t="s">
        <v>1927</v>
      </c>
      <c r="B23" s="367" t="s">
        <v>5</v>
      </c>
      <c r="C23" s="374" t="s">
        <v>615</v>
      </c>
      <c r="D23" s="375"/>
      <c r="E23" s="27">
        <v>54.5</v>
      </c>
      <c r="F23" s="367">
        <v>1656</v>
      </c>
      <c r="G23" s="364">
        <f t="shared" si="15"/>
        <v>90252</v>
      </c>
      <c r="H23" s="31" t="s">
        <v>40</v>
      </c>
      <c r="I23" s="362">
        <v>20</v>
      </c>
      <c r="J23" s="29">
        <v>1500</v>
      </c>
      <c r="K23" s="12">
        <f t="shared" si="1"/>
        <v>75</v>
      </c>
      <c r="L23" s="362">
        <v>20</v>
      </c>
      <c r="M23" s="13">
        <f t="shared" si="16"/>
        <v>1440.0000000000018</v>
      </c>
      <c r="N23" s="12">
        <f t="shared" si="3"/>
        <v>72.000000000000085</v>
      </c>
      <c r="O23" s="14">
        <f t="shared" si="4"/>
        <v>0</v>
      </c>
      <c r="P23" s="15">
        <f t="shared" si="5"/>
        <v>-2.9999999999999147</v>
      </c>
      <c r="Q23" s="363">
        <f t="shared" si="6"/>
        <v>0.96000000000000119</v>
      </c>
      <c r="R23" s="616"/>
      <c r="S23" s="32">
        <v>0.86458333333333326</v>
      </c>
      <c r="T23" s="32">
        <v>0.91249999999999987</v>
      </c>
      <c r="U23" s="364">
        <f t="shared" si="18"/>
        <v>55.999999999999957</v>
      </c>
      <c r="V23" s="365">
        <f t="shared" si="17"/>
        <v>68.999999999999915</v>
      </c>
      <c r="W23" s="16"/>
      <c r="X23" s="16"/>
      <c r="Y23" s="19"/>
      <c r="Z23" s="19"/>
      <c r="AA23" s="369"/>
      <c r="AB23" s="370"/>
      <c r="AC23" s="18"/>
      <c r="AD23" s="18"/>
      <c r="AE23" s="14">
        <f t="shared" si="8"/>
        <v>-59.999999999998181</v>
      </c>
      <c r="AF23" s="363">
        <f t="shared" si="9"/>
        <v>0.96000000000000119</v>
      </c>
      <c r="AG23" s="616"/>
    </row>
    <row r="24" spans="1:33" ht="16.5" customHeight="1">
      <c r="A24" s="637" t="s">
        <v>1927</v>
      </c>
      <c r="B24" s="27" t="s">
        <v>1924</v>
      </c>
      <c r="C24" s="658"/>
      <c r="D24" s="658"/>
      <c r="E24" s="368"/>
      <c r="F24" s="28"/>
      <c r="G24" s="12"/>
      <c r="H24" s="367"/>
      <c r="I24" s="21">
        <v>18.111111111111111</v>
      </c>
      <c r="J24" s="29">
        <v>1722.2222222222222</v>
      </c>
      <c r="K24" s="12">
        <f t="shared" si="1"/>
        <v>95.092024539877301</v>
      </c>
      <c r="L24" s="21">
        <v>18.111111111111111</v>
      </c>
      <c r="M24" s="13">
        <f>AVERAGE(M15:M23)</f>
        <v>1655.8720372349335</v>
      </c>
      <c r="N24" s="12">
        <f t="shared" si="3"/>
        <v>91.428517393339888</v>
      </c>
      <c r="O24" s="14">
        <f t="shared" si="4"/>
        <v>0</v>
      </c>
      <c r="P24" s="15">
        <f t="shared" si="5"/>
        <v>-3.6635071465374125</v>
      </c>
      <c r="Q24" s="363">
        <f t="shared" si="6"/>
        <v>0.96147408613641305</v>
      </c>
      <c r="R24" s="616"/>
      <c r="S24" s="32"/>
      <c r="T24" s="32"/>
      <c r="U24" s="364"/>
      <c r="V24" s="365"/>
      <c r="W24" s="12"/>
      <c r="X24" s="12"/>
      <c r="Y24" s="22">
        <f>SUM(Y15:Y23)</f>
        <v>0</v>
      </c>
      <c r="Z24" s="22">
        <f>SUM(Z15:Z23)</f>
        <v>0</v>
      </c>
      <c r="AA24" s="611"/>
      <c r="AB24" s="611"/>
      <c r="AC24" s="22">
        <v>9</v>
      </c>
      <c r="AD24" s="22">
        <f>SUM(AD15:AD23)</f>
        <v>0</v>
      </c>
      <c r="AE24" s="14">
        <f t="shared" si="8"/>
        <v>-66.350184987288685</v>
      </c>
      <c r="AF24" s="363">
        <f t="shared" si="9"/>
        <v>0.96147408613641305</v>
      </c>
      <c r="AG24" s="616"/>
    </row>
    <row r="25" spans="1:33" ht="15.75" customHeight="1">
      <c r="A25" s="634" t="s">
        <v>1928</v>
      </c>
      <c r="B25" s="27" t="s">
        <v>5</v>
      </c>
      <c r="C25" s="659" t="s">
        <v>16</v>
      </c>
      <c r="D25" s="659"/>
      <c r="E25" s="27">
        <v>50.67</v>
      </c>
      <c r="F25" s="367">
        <v>2287</v>
      </c>
      <c r="G25" s="364">
        <f t="shared" ref="G25:G31" si="19">E25*F25</f>
        <v>115882.29000000001</v>
      </c>
      <c r="H25" s="31" t="s">
        <v>40</v>
      </c>
      <c r="I25" s="362">
        <v>17</v>
      </c>
      <c r="J25" s="29">
        <v>2000</v>
      </c>
      <c r="K25" s="12">
        <f t="shared" si="1"/>
        <v>117.64705882352941</v>
      </c>
      <c r="L25" s="362">
        <v>17</v>
      </c>
      <c r="M25" s="13">
        <f t="shared" ref="M25:M31" si="20">F25/V25*60</f>
        <v>1905.8333333333326</v>
      </c>
      <c r="N25" s="12">
        <f t="shared" si="3"/>
        <v>112.10784313725486</v>
      </c>
      <c r="O25" s="14">
        <f t="shared" si="4"/>
        <v>0</v>
      </c>
      <c r="P25" s="15">
        <f t="shared" si="5"/>
        <v>-5.5392156862745452</v>
      </c>
      <c r="Q25" s="363">
        <f t="shared" si="6"/>
        <v>0.95291666666666641</v>
      </c>
      <c r="R25" s="616">
        <f>Q32</f>
        <v>0.95711446303087</v>
      </c>
      <c r="S25" s="32">
        <v>0.20833333333333334</v>
      </c>
      <c r="T25" s="32">
        <v>0.25833333333333336</v>
      </c>
      <c r="U25" s="364"/>
      <c r="V25" s="365">
        <f t="shared" ref="V25:V31" si="21">(T25-S25)*24*60</f>
        <v>72.000000000000028</v>
      </c>
      <c r="W25" s="16"/>
      <c r="X25" s="16"/>
      <c r="Y25" s="20"/>
      <c r="Z25" s="20"/>
      <c r="AA25" s="612"/>
      <c r="AB25" s="612"/>
      <c r="AC25" s="18">
        <v>7</v>
      </c>
      <c r="AD25" s="18"/>
      <c r="AE25" s="14">
        <f t="shared" si="8"/>
        <v>-94.166666666667425</v>
      </c>
      <c r="AF25" s="363">
        <f t="shared" si="9"/>
        <v>0.9529166666666663</v>
      </c>
      <c r="AG25" s="616">
        <f>AF32</f>
        <v>0.95711446303087</v>
      </c>
    </row>
    <row r="26" spans="1:33" ht="15.75" customHeight="1">
      <c r="A26" s="635" t="s">
        <v>1928</v>
      </c>
      <c r="B26" s="27" t="s">
        <v>5</v>
      </c>
      <c r="C26" s="659" t="s">
        <v>17</v>
      </c>
      <c r="D26" s="659"/>
      <c r="E26" s="27">
        <v>57.73</v>
      </c>
      <c r="F26" s="367">
        <v>2900</v>
      </c>
      <c r="G26" s="364">
        <f t="shared" si="19"/>
        <v>167417</v>
      </c>
      <c r="H26" s="31" t="s">
        <v>40</v>
      </c>
      <c r="I26" s="362">
        <v>14</v>
      </c>
      <c r="J26" s="29">
        <v>2000</v>
      </c>
      <c r="K26" s="12">
        <f t="shared" si="1"/>
        <v>142.85714285714286</v>
      </c>
      <c r="L26" s="362">
        <v>14</v>
      </c>
      <c r="M26" s="13">
        <f t="shared" si="20"/>
        <v>1912.0879120879122</v>
      </c>
      <c r="N26" s="12">
        <f t="shared" si="3"/>
        <v>136.57770800627944</v>
      </c>
      <c r="O26" s="14">
        <f t="shared" si="4"/>
        <v>0</v>
      </c>
      <c r="P26" s="15">
        <f t="shared" si="5"/>
        <v>-6.2794348508634243</v>
      </c>
      <c r="Q26" s="363">
        <f t="shared" si="6"/>
        <v>0.95604395604395598</v>
      </c>
      <c r="R26" s="616"/>
      <c r="S26" s="32">
        <v>0.26250000000000001</v>
      </c>
      <c r="T26" s="32">
        <v>0.32569444444444445</v>
      </c>
      <c r="U26" s="364">
        <f t="shared" ref="U26:U31" si="22">IF(S26=TIME(17,0,0),"",(S26-T25)*24*60)</f>
        <v>5.9999999999999787</v>
      </c>
      <c r="V26" s="365">
        <f t="shared" si="21"/>
        <v>91</v>
      </c>
      <c r="W26" s="16"/>
      <c r="X26" s="364"/>
      <c r="Y26" s="364"/>
      <c r="Z26" s="364"/>
      <c r="AA26" s="612"/>
      <c r="AB26" s="612"/>
      <c r="AC26" s="18"/>
      <c r="AD26" s="18"/>
      <c r="AE26" s="14">
        <f t="shared" si="8"/>
        <v>-87.912087912087827</v>
      </c>
      <c r="AF26" s="363">
        <f t="shared" si="9"/>
        <v>0.95604395604395609</v>
      </c>
      <c r="AG26" s="616"/>
    </row>
    <row r="27" spans="1:33" ht="15.75" customHeight="1">
      <c r="A27" s="635" t="s">
        <v>1928</v>
      </c>
      <c r="B27" s="27" t="s">
        <v>5</v>
      </c>
      <c r="C27" s="659" t="s">
        <v>60</v>
      </c>
      <c r="D27" s="659"/>
      <c r="E27" s="27">
        <v>53.27</v>
      </c>
      <c r="F27" s="367">
        <v>2014</v>
      </c>
      <c r="G27" s="364">
        <f t="shared" si="19"/>
        <v>107285.78000000001</v>
      </c>
      <c r="H27" s="31" t="s">
        <v>40</v>
      </c>
      <c r="I27" s="362">
        <v>16</v>
      </c>
      <c r="J27" s="29">
        <v>2000</v>
      </c>
      <c r="K27" s="12">
        <f t="shared" si="1"/>
        <v>125</v>
      </c>
      <c r="L27" s="362">
        <v>16</v>
      </c>
      <c r="M27" s="13">
        <f t="shared" si="20"/>
        <v>1918.0952380952376</v>
      </c>
      <c r="N27" s="12">
        <f t="shared" si="3"/>
        <v>119.88095238095235</v>
      </c>
      <c r="O27" s="14">
        <f t="shared" si="4"/>
        <v>0</v>
      </c>
      <c r="P27" s="15">
        <f t="shared" si="5"/>
        <v>-5.1190476190476488</v>
      </c>
      <c r="Q27" s="363">
        <f t="shared" si="6"/>
        <v>0.95904761904761882</v>
      </c>
      <c r="R27" s="616"/>
      <c r="S27" s="32">
        <v>0.33055555555555555</v>
      </c>
      <c r="T27" s="32">
        <v>0.37430555555555556</v>
      </c>
      <c r="U27" s="364">
        <f t="shared" si="22"/>
        <v>6.9999999999999751</v>
      </c>
      <c r="V27" s="365">
        <f t="shared" si="21"/>
        <v>63.000000000000014</v>
      </c>
      <c r="W27" s="16"/>
      <c r="X27" s="364"/>
      <c r="Y27" s="364"/>
      <c r="Z27" s="364"/>
      <c r="AA27" s="612"/>
      <c r="AB27" s="612"/>
      <c r="AC27" s="18"/>
      <c r="AD27" s="18"/>
      <c r="AE27" s="14">
        <f t="shared" si="8"/>
        <v>-81.904761904762381</v>
      </c>
      <c r="AF27" s="363">
        <f t="shared" si="9"/>
        <v>0.95904761904761882</v>
      </c>
      <c r="AG27" s="616"/>
    </row>
    <row r="28" spans="1:33" ht="15.75" customHeight="1">
      <c r="A28" s="635" t="s">
        <v>1929</v>
      </c>
      <c r="B28" s="27" t="s">
        <v>5</v>
      </c>
      <c r="C28" s="659" t="s">
        <v>65</v>
      </c>
      <c r="D28" s="659"/>
      <c r="E28" s="27">
        <v>56.43</v>
      </c>
      <c r="F28" s="367">
        <v>1535</v>
      </c>
      <c r="G28" s="364">
        <f t="shared" si="19"/>
        <v>86620.05</v>
      </c>
      <c r="H28" s="31" t="s">
        <v>40</v>
      </c>
      <c r="I28" s="362">
        <v>13</v>
      </c>
      <c r="J28" s="29">
        <v>2000</v>
      </c>
      <c r="K28" s="12">
        <f t="shared" si="1"/>
        <v>153.84615384615384</v>
      </c>
      <c r="L28" s="362">
        <v>13</v>
      </c>
      <c r="M28" s="13">
        <f t="shared" si="20"/>
        <v>1918.7500000000005</v>
      </c>
      <c r="N28" s="12">
        <f t="shared" si="3"/>
        <v>147.59615384615387</v>
      </c>
      <c r="O28" s="14">
        <f t="shared" si="4"/>
        <v>0</v>
      </c>
      <c r="P28" s="15">
        <f t="shared" si="5"/>
        <v>-6.2499999999999716</v>
      </c>
      <c r="Q28" s="363">
        <f t="shared" si="6"/>
        <v>0.9593750000000002</v>
      </c>
      <c r="R28" s="616"/>
      <c r="S28" s="32">
        <v>0.70833333333333337</v>
      </c>
      <c r="T28" s="32">
        <v>0.7416666666666667</v>
      </c>
      <c r="U28" s="364" t="str">
        <f t="shared" si="22"/>
        <v/>
      </c>
      <c r="V28" s="365">
        <f t="shared" si="21"/>
        <v>47.999999999999986</v>
      </c>
      <c r="W28" s="16"/>
      <c r="X28" s="364"/>
      <c r="Y28" s="364"/>
      <c r="Z28" s="364"/>
      <c r="AA28" s="612"/>
      <c r="AB28" s="612"/>
      <c r="AC28" s="18"/>
      <c r="AD28" s="18"/>
      <c r="AE28" s="14">
        <f t="shared" si="8"/>
        <v>-81.249999999999545</v>
      </c>
      <c r="AF28" s="363">
        <f t="shared" si="9"/>
        <v>0.9593750000000002</v>
      </c>
      <c r="AG28" s="616"/>
    </row>
    <row r="29" spans="1:33" ht="15.75" customHeight="1">
      <c r="A29" s="635" t="s">
        <v>1928</v>
      </c>
      <c r="B29" s="27" t="s">
        <v>5</v>
      </c>
      <c r="C29" s="659" t="s">
        <v>1322</v>
      </c>
      <c r="D29" s="659"/>
      <c r="E29" s="27">
        <v>54.09</v>
      </c>
      <c r="F29" s="367">
        <v>2965</v>
      </c>
      <c r="G29" s="364">
        <f t="shared" si="19"/>
        <v>160376.85</v>
      </c>
      <c r="H29" s="31" t="s">
        <v>40</v>
      </c>
      <c r="I29" s="362">
        <v>18</v>
      </c>
      <c r="J29" s="29">
        <v>2000</v>
      </c>
      <c r="K29" s="12">
        <f t="shared" si="1"/>
        <v>111.11111111111111</v>
      </c>
      <c r="L29" s="362">
        <v>18</v>
      </c>
      <c r="M29" s="13">
        <f t="shared" si="20"/>
        <v>1912.9032258064519</v>
      </c>
      <c r="N29" s="12">
        <f t="shared" si="3"/>
        <v>106.27240143369177</v>
      </c>
      <c r="O29" s="14">
        <f t="shared" si="4"/>
        <v>0</v>
      </c>
      <c r="P29" s="15">
        <f t="shared" si="5"/>
        <v>-4.8387096774193452</v>
      </c>
      <c r="Q29" s="363">
        <f t="shared" si="6"/>
        <v>0.95645161290322589</v>
      </c>
      <c r="R29" s="616"/>
      <c r="S29" s="32">
        <v>0.74513888888888891</v>
      </c>
      <c r="T29" s="32">
        <v>0.80972222222222223</v>
      </c>
      <c r="U29" s="364">
        <f t="shared" si="22"/>
        <v>4.9999999999999822</v>
      </c>
      <c r="V29" s="365">
        <f t="shared" si="21"/>
        <v>92.999999999999986</v>
      </c>
      <c r="W29" s="16"/>
      <c r="X29" s="16"/>
      <c r="Y29" s="364"/>
      <c r="Z29" s="364"/>
      <c r="AA29" s="612"/>
      <c r="AB29" s="612"/>
      <c r="AC29" s="18"/>
      <c r="AD29" s="18"/>
      <c r="AE29" s="14">
        <f t="shared" si="8"/>
        <v>-87.096774193548072</v>
      </c>
      <c r="AF29" s="363">
        <f t="shared" si="9"/>
        <v>0.956451612903226</v>
      </c>
      <c r="AG29" s="616"/>
    </row>
    <row r="30" spans="1:33" ht="15.75" customHeight="1">
      <c r="A30" s="635" t="s">
        <v>1928</v>
      </c>
      <c r="B30" s="27" t="s">
        <v>5</v>
      </c>
      <c r="C30" s="659" t="s">
        <v>1930</v>
      </c>
      <c r="D30" s="659"/>
      <c r="E30" s="27">
        <v>57.3</v>
      </c>
      <c r="F30" s="367">
        <v>1600</v>
      </c>
      <c r="G30" s="364">
        <f t="shared" si="19"/>
        <v>91680</v>
      </c>
      <c r="H30" s="31">
        <v>2</v>
      </c>
      <c r="I30" s="362">
        <v>16</v>
      </c>
      <c r="J30" s="29">
        <v>2000</v>
      </c>
      <c r="K30" s="12">
        <f t="shared" si="1"/>
        <v>125</v>
      </c>
      <c r="L30" s="362">
        <v>16</v>
      </c>
      <c r="M30" s="13">
        <f t="shared" si="20"/>
        <v>1920.0000000000005</v>
      </c>
      <c r="N30" s="12">
        <f t="shared" si="3"/>
        <v>120.00000000000003</v>
      </c>
      <c r="O30" s="14">
        <f t="shared" si="4"/>
        <v>0</v>
      </c>
      <c r="P30" s="15">
        <f t="shared" si="5"/>
        <v>-4.9999999999999716</v>
      </c>
      <c r="Q30" s="363">
        <f t="shared" si="6"/>
        <v>0.96000000000000019</v>
      </c>
      <c r="R30" s="616"/>
      <c r="S30" s="32">
        <v>0.81319444444444444</v>
      </c>
      <c r="T30" s="32">
        <v>0.84791666666666665</v>
      </c>
      <c r="U30" s="364">
        <f t="shared" si="22"/>
        <v>4.9999999999999822</v>
      </c>
      <c r="V30" s="365">
        <f t="shared" si="21"/>
        <v>49.999999999999986</v>
      </c>
      <c r="W30" s="16">
        <f>T30</f>
        <v>0.84791666666666665</v>
      </c>
      <c r="X30" s="16">
        <f>S31</f>
        <v>0.88749999999999996</v>
      </c>
      <c r="Y30" s="20"/>
      <c r="Z30" s="20"/>
      <c r="AA30" s="612"/>
      <c r="AB30" s="612"/>
      <c r="AC30" s="18"/>
      <c r="AD30" s="18"/>
      <c r="AE30" s="14">
        <f t="shared" si="8"/>
        <v>-79.999999999999545</v>
      </c>
      <c r="AF30" s="363">
        <f t="shared" si="9"/>
        <v>0.96000000000000019</v>
      </c>
      <c r="AG30" s="616"/>
    </row>
    <row r="31" spans="1:33" ht="15.75" customHeight="1">
      <c r="A31" s="635" t="s">
        <v>1929</v>
      </c>
      <c r="B31" s="27" t="s">
        <v>5</v>
      </c>
      <c r="C31" s="631" t="s">
        <v>1930</v>
      </c>
      <c r="D31" s="632"/>
      <c r="E31" s="27">
        <v>57.3</v>
      </c>
      <c r="F31" s="367">
        <v>3792</v>
      </c>
      <c r="G31" s="364">
        <f t="shared" si="19"/>
        <v>217281.59999999998</v>
      </c>
      <c r="H31" s="31" t="s">
        <v>40</v>
      </c>
      <c r="I31" s="362">
        <v>16</v>
      </c>
      <c r="J31" s="29">
        <v>2000</v>
      </c>
      <c r="K31" s="12">
        <f t="shared" si="1"/>
        <v>125</v>
      </c>
      <c r="L31" s="362">
        <v>16</v>
      </c>
      <c r="M31" s="13">
        <f t="shared" si="20"/>
        <v>1911.9327731092428</v>
      </c>
      <c r="N31" s="12">
        <f t="shared" si="3"/>
        <v>119.49579831932768</v>
      </c>
      <c r="O31" s="14">
        <f t="shared" si="4"/>
        <v>0</v>
      </c>
      <c r="P31" s="15">
        <f t="shared" si="5"/>
        <v>-5.504201680672324</v>
      </c>
      <c r="Q31" s="363">
        <f t="shared" si="6"/>
        <v>0.95596638655462141</v>
      </c>
      <c r="R31" s="616"/>
      <c r="S31" s="32">
        <v>0.88749999999999996</v>
      </c>
      <c r="T31" s="32">
        <v>0.97013888888888888</v>
      </c>
      <c r="U31" s="364">
        <f t="shared" si="22"/>
        <v>56.999999999999957</v>
      </c>
      <c r="V31" s="365">
        <f t="shared" si="21"/>
        <v>119.00000000000006</v>
      </c>
      <c r="W31" s="16"/>
      <c r="X31" s="20"/>
      <c r="Y31" s="270"/>
      <c r="Z31" s="270"/>
      <c r="AA31" s="607"/>
      <c r="AB31" s="608"/>
      <c r="AC31" s="18"/>
      <c r="AD31" s="18"/>
      <c r="AE31" s="14">
        <f t="shared" si="8"/>
        <v>-88.067226890757183</v>
      </c>
      <c r="AF31" s="363">
        <f t="shared" si="9"/>
        <v>0.95596638655462141</v>
      </c>
      <c r="AG31" s="616"/>
    </row>
    <row r="32" spans="1:33" ht="15.75" customHeight="1">
      <c r="A32" s="635" t="s">
        <v>1928</v>
      </c>
      <c r="B32" s="27" t="s">
        <v>1931</v>
      </c>
      <c r="C32" s="658"/>
      <c r="D32" s="658"/>
      <c r="E32" s="368"/>
      <c r="F32" s="367"/>
      <c r="G32" s="364"/>
      <c r="H32" s="367"/>
      <c r="I32" s="21">
        <v>15.714285714285714</v>
      </c>
      <c r="J32" s="29">
        <v>2000</v>
      </c>
      <c r="K32" s="12">
        <f t="shared" si="1"/>
        <v>127.27272727272728</v>
      </c>
      <c r="L32" s="21">
        <v>15.714285714285714</v>
      </c>
      <c r="M32" s="13">
        <f>AVERAGE(M25:M31)</f>
        <v>1914.2289260617399</v>
      </c>
      <c r="N32" s="12">
        <f t="shared" si="3"/>
        <v>121.81456802211073</v>
      </c>
      <c r="O32" s="14">
        <f t="shared" si="4"/>
        <v>0</v>
      </c>
      <c r="P32" s="15">
        <f t="shared" si="5"/>
        <v>-5.4581592506165464</v>
      </c>
      <c r="Q32" s="363">
        <f t="shared" si="6"/>
        <v>0.95711446303087</v>
      </c>
      <c r="R32" s="616"/>
      <c r="S32" s="32"/>
      <c r="T32" s="32"/>
      <c r="U32" s="12"/>
      <c r="V32" s="365"/>
      <c r="W32" s="12"/>
      <c r="X32" s="12"/>
      <c r="Y32" s="22">
        <f>SUM(Y25:Y31)</f>
        <v>0</v>
      </c>
      <c r="Z32" s="22">
        <f>SUM(Z25:Z31)</f>
        <v>0</v>
      </c>
      <c r="AA32" s="611"/>
      <c r="AB32" s="611"/>
      <c r="AC32" s="22">
        <v>7</v>
      </c>
      <c r="AD32" s="22">
        <f>SUM(AD25:AD31)</f>
        <v>0</v>
      </c>
      <c r="AE32" s="14">
        <f t="shared" si="8"/>
        <v>-85.771073938260088</v>
      </c>
      <c r="AF32" s="363">
        <f t="shared" si="9"/>
        <v>0.95711446303087</v>
      </c>
      <c r="AG32" s="616"/>
    </row>
    <row r="33" spans="1:33" ht="15.75" customHeight="1">
      <c r="A33" s="633" t="s">
        <v>1932</v>
      </c>
      <c r="B33" s="27" t="s">
        <v>20</v>
      </c>
      <c r="C33" s="659" t="s">
        <v>21</v>
      </c>
      <c r="D33" s="659"/>
      <c r="E33" s="27">
        <v>31.29</v>
      </c>
      <c r="F33" s="367">
        <v>5500</v>
      </c>
      <c r="G33" s="364">
        <f t="shared" ref="G33:G40" si="23">E33*F33</f>
        <v>172095</v>
      </c>
      <c r="H33" s="31">
        <v>2</v>
      </c>
      <c r="I33" s="362">
        <v>18</v>
      </c>
      <c r="J33" s="29">
        <v>2400</v>
      </c>
      <c r="K33" s="12">
        <f t="shared" si="1"/>
        <v>133.33333333333334</v>
      </c>
      <c r="L33" s="362">
        <v>18</v>
      </c>
      <c r="M33" s="13">
        <f t="shared" ref="M33:M40" si="24">F33/V33*60</f>
        <v>2291.6666666666665</v>
      </c>
      <c r="N33" s="12">
        <f t="shared" si="3"/>
        <v>127.31481481481481</v>
      </c>
      <c r="O33" s="14">
        <f t="shared" si="4"/>
        <v>0</v>
      </c>
      <c r="P33" s="15">
        <f t="shared" si="5"/>
        <v>-6.0185185185185333</v>
      </c>
      <c r="Q33" s="363">
        <f t="shared" si="6"/>
        <v>0.95486111111111105</v>
      </c>
      <c r="R33" s="616">
        <f>Q41</f>
        <v>0.95440852915761987</v>
      </c>
      <c r="S33" s="32">
        <v>8.3333333333333329E-2</v>
      </c>
      <c r="T33" s="32">
        <v>0.18333333333333332</v>
      </c>
      <c r="U33" s="364"/>
      <c r="V33" s="365">
        <f t="shared" ref="V33:V40" si="25">(T33-S33)*24*60</f>
        <v>144</v>
      </c>
      <c r="W33" s="16">
        <f>T33</f>
        <v>0.18333333333333332</v>
      </c>
      <c r="X33" s="16">
        <f>S34</f>
        <v>0.20347222222222222</v>
      </c>
      <c r="Y33" s="16"/>
      <c r="Z33" s="16"/>
      <c r="AA33" s="612"/>
      <c r="AB33" s="612"/>
      <c r="AC33" s="18">
        <v>8</v>
      </c>
      <c r="AD33" s="18"/>
      <c r="AE33" s="14">
        <f t="shared" si="8"/>
        <v>-108.33333333333348</v>
      </c>
      <c r="AF33" s="363">
        <f t="shared" si="9"/>
        <v>0.95486111111111105</v>
      </c>
      <c r="AG33" s="616">
        <f>AF41</f>
        <v>0.95440852915761976</v>
      </c>
    </row>
    <row r="34" spans="1:33" ht="15.75" customHeight="1">
      <c r="A34" s="633" t="s">
        <v>1933</v>
      </c>
      <c r="B34" s="27" t="s">
        <v>20</v>
      </c>
      <c r="C34" s="659" t="s">
        <v>22</v>
      </c>
      <c r="D34" s="659"/>
      <c r="E34" s="27">
        <v>26.37</v>
      </c>
      <c r="F34" s="367">
        <v>4000</v>
      </c>
      <c r="G34" s="364">
        <f t="shared" si="23"/>
        <v>105480</v>
      </c>
      <c r="H34" s="31">
        <v>2</v>
      </c>
      <c r="I34" s="362">
        <v>18</v>
      </c>
      <c r="J34" s="29">
        <v>2400</v>
      </c>
      <c r="K34" s="12">
        <f t="shared" si="1"/>
        <v>133.33333333333334</v>
      </c>
      <c r="L34" s="362">
        <v>18</v>
      </c>
      <c r="M34" s="13">
        <f t="shared" si="24"/>
        <v>2285.7142857142853</v>
      </c>
      <c r="N34" s="12">
        <f t="shared" si="3"/>
        <v>126.98412698412696</v>
      </c>
      <c r="O34" s="14">
        <f t="shared" si="4"/>
        <v>0</v>
      </c>
      <c r="P34" s="15">
        <f t="shared" si="5"/>
        <v>-6.3492063492063835</v>
      </c>
      <c r="Q34" s="363">
        <f t="shared" si="6"/>
        <v>0.95238095238095211</v>
      </c>
      <c r="R34" s="616"/>
      <c r="S34" s="32">
        <v>0.20347222222222222</v>
      </c>
      <c r="T34" s="32">
        <v>0.27638888888888891</v>
      </c>
      <c r="U34" s="364">
        <f t="shared" ref="U34:U40" si="26">(S34-T33)*24*60</f>
        <v>29.000000000000018</v>
      </c>
      <c r="V34" s="365">
        <f t="shared" si="25"/>
        <v>105.00000000000003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-114.28571428571468</v>
      </c>
      <c r="AF34" s="363">
        <f t="shared" si="9"/>
        <v>0.95238095238095222</v>
      </c>
      <c r="AG34" s="616"/>
    </row>
    <row r="35" spans="1:33" ht="15.75" customHeight="1">
      <c r="A35" s="633" t="s">
        <v>1933</v>
      </c>
      <c r="B35" s="27" t="s">
        <v>20</v>
      </c>
      <c r="C35" s="659" t="s">
        <v>57</v>
      </c>
      <c r="D35" s="659"/>
      <c r="E35" s="27">
        <v>26.18</v>
      </c>
      <c r="F35" s="367">
        <v>4700</v>
      </c>
      <c r="G35" s="364">
        <f t="shared" si="23"/>
        <v>123046</v>
      </c>
      <c r="H35" s="31">
        <v>2</v>
      </c>
      <c r="I35" s="362">
        <v>18</v>
      </c>
      <c r="J35" s="29">
        <v>2400</v>
      </c>
      <c r="K35" s="12">
        <f t="shared" si="1"/>
        <v>133.33333333333334</v>
      </c>
      <c r="L35" s="362">
        <v>18</v>
      </c>
      <c r="M35" s="13">
        <f t="shared" si="24"/>
        <v>2292.682926829269</v>
      </c>
      <c r="N35" s="12">
        <f t="shared" si="3"/>
        <v>127.37127371273716</v>
      </c>
      <c r="O35" s="14">
        <f t="shared" si="4"/>
        <v>0</v>
      </c>
      <c r="P35" s="15">
        <f t="shared" si="5"/>
        <v>-5.9620596205961789</v>
      </c>
      <c r="Q35" s="363">
        <f t="shared" si="6"/>
        <v>0.95528455284552871</v>
      </c>
      <c r="R35" s="616"/>
      <c r="S35" s="32">
        <v>0.27986111111111112</v>
      </c>
      <c r="T35" s="32">
        <v>0.36527777777777776</v>
      </c>
      <c r="U35" s="364">
        <f t="shared" si="26"/>
        <v>4.9999999999999822</v>
      </c>
      <c r="V35" s="365">
        <f t="shared" si="25"/>
        <v>122.99999999999996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-107.31707317073096</v>
      </c>
      <c r="AF35" s="363">
        <f t="shared" si="9"/>
        <v>0.95528455284552871</v>
      </c>
      <c r="AG35" s="616"/>
    </row>
    <row r="36" spans="1:33" ht="15.75" customHeight="1">
      <c r="A36" s="633" t="s">
        <v>1933</v>
      </c>
      <c r="B36" s="27" t="s">
        <v>20</v>
      </c>
      <c r="C36" s="659" t="s">
        <v>59</v>
      </c>
      <c r="D36" s="659"/>
      <c r="E36" s="27">
        <v>25.99</v>
      </c>
      <c r="F36" s="367">
        <v>1560</v>
      </c>
      <c r="G36" s="364">
        <f t="shared" si="23"/>
        <v>40544.399999999994</v>
      </c>
      <c r="H36" s="31" t="s">
        <v>40</v>
      </c>
      <c r="I36" s="362">
        <v>18</v>
      </c>
      <c r="J36" s="29">
        <v>2400</v>
      </c>
      <c r="K36" s="12">
        <f t="shared" si="1"/>
        <v>133.33333333333334</v>
      </c>
      <c r="L36" s="362">
        <v>18</v>
      </c>
      <c r="M36" s="13">
        <f t="shared" si="24"/>
        <v>2282.9268292682918</v>
      </c>
      <c r="N36" s="12">
        <f t="shared" si="3"/>
        <v>126.82926829268288</v>
      </c>
      <c r="O36" s="14">
        <f t="shared" si="4"/>
        <v>0</v>
      </c>
      <c r="P36" s="15">
        <f t="shared" si="5"/>
        <v>-6.5040650406504597</v>
      </c>
      <c r="Q36" s="363">
        <f t="shared" si="6"/>
        <v>0.95121951219512157</v>
      </c>
      <c r="R36" s="616"/>
      <c r="S36" s="32">
        <v>0.37013888888888885</v>
      </c>
      <c r="T36" s="32">
        <v>0.39861111111111108</v>
      </c>
      <c r="U36" s="364">
        <f t="shared" si="26"/>
        <v>6.9999999999999751</v>
      </c>
      <c r="V36" s="365">
        <f t="shared" si="25"/>
        <v>41.000000000000014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-117.07317073170816</v>
      </c>
      <c r="AF36" s="363">
        <f t="shared" si="9"/>
        <v>0.95121951219512157</v>
      </c>
      <c r="AG36" s="616"/>
    </row>
    <row r="37" spans="1:33" ht="15.75" customHeight="1">
      <c r="A37" s="633" t="s">
        <v>1932</v>
      </c>
      <c r="B37" s="27" t="s">
        <v>20</v>
      </c>
      <c r="C37" s="659" t="s">
        <v>23</v>
      </c>
      <c r="D37" s="659"/>
      <c r="E37" s="27">
        <v>25.99</v>
      </c>
      <c r="F37" s="367">
        <v>4196</v>
      </c>
      <c r="G37" s="364">
        <f t="shared" si="23"/>
        <v>109054.04</v>
      </c>
      <c r="H37" s="31" t="s">
        <v>40</v>
      </c>
      <c r="I37" s="362">
        <v>14</v>
      </c>
      <c r="J37" s="29">
        <v>2400</v>
      </c>
      <c r="K37" s="12">
        <f t="shared" si="1"/>
        <v>171.42857142857142</v>
      </c>
      <c r="L37" s="362">
        <v>14</v>
      </c>
      <c r="M37" s="13">
        <f t="shared" si="24"/>
        <v>2288.7272727272725</v>
      </c>
      <c r="N37" s="12">
        <f t="shared" si="3"/>
        <v>163.48051948051946</v>
      </c>
      <c r="O37" s="14">
        <f t="shared" si="4"/>
        <v>0</v>
      </c>
      <c r="P37" s="15">
        <f t="shared" si="5"/>
        <v>-7.9480519480519547</v>
      </c>
      <c r="Q37" s="363">
        <f t="shared" si="6"/>
        <v>0.95363636363636362</v>
      </c>
      <c r="R37" s="616"/>
      <c r="S37" s="32">
        <v>0.40416666666666662</v>
      </c>
      <c r="T37" s="32">
        <v>0.48055555555555551</v>
      </c>
      <c r="U37" s="364">
        <f t="shared" si="26"/>
        <v>7.9999999999999716</v>
      </c>
      <c r="V37" s="365">
        <f t="shared" si="25"/>
        <v>110.00000000000001</v>
      </c>
      <c r="W37" s="16">
        <f>T37</f>
        <v>0.48055555555555551</v>
      </c>
      <c r="X37" s="16">
        <f>S38</f>
        <v>0.52013888888888882</v>
      </c>
      <c r="Y37" s="16"/>
      <c r="Z37" s="16"/>
      <c r="AA37" s="612"/>
      <c r="AB37" s="612"/>
      <c r="AC37" s="18"/>
      <c r="AD37" s="18"/>
      <c r="AE37" s="14">
        <f t="shared" si="8"/>
        <v>-111.27272727272748</v>
      </c>
      <c r="AF37" s="363">
        <f t="shared" si="9"/>
        <v>0.9536363636363635</v>
      </c>
      <c r="AG37" s="616"/>
    </row>
    <row r="38" spans="1:33" ht="15.75" customHeight="1">
      <c r="A38" s="633" t="s">
        <v>1932</v>
      </c>
      <c r="B38" s="27" t="s">
        <v>20</v>
      </c>
      <c r="C38" s="659" t="s">
        <v>21</v>
      </c>
      <c r="D38" s="659"/>
      <c r="E38" s="27">
        <v>31.29</v>
      </c>
      <c r="F38" s="367">
        <v>4310</v>
      </c>
      <c r="G38" s="364">
        <f t="shared" si="23"/>
        <v>134859.9</v>
      </c>
      <c r="H38" s="31" t="s">
        <v>40</v>
      </c>
      <c r="I38" s="362">
        <v>18</v>
      </c>
      <c r="J38" s="29">
        <v>2400</v>
      </c>
      <c r="K38" s="12">
        <f t="shared" si="1"/>
        <v>133.33333333333334</v>
      </c>
      <c r="L38" s="362">
        <v>18</v>
      </c>
      <c r="M38" s="13">
        <f t="shared" si="24"/>
        <v>2288.4955752212409</v>
      </c>
      <c r="N38" s="12">
        <f t="shared" si="3"/>
        <v>127.13864306784671</v>
      </c>
      <c r="O38" s="14">
        <f t="shared" si="4"/>
        <v>0</v>
      </c>
      <c r="P38" s="15">
        <f t="shared" si="5"/>
        <v>-6.1946902654866278</v>
      </c>
      <c r="Q38" s="363">
        <f t="shared" si="6"/>
        <v>0.95353982300885032</v>
      </c>
      <c r="R38" s="616"/>
      <c r="S38" s="32">
        <v>0.52013888888888882</v>
      </c>
      <c r="T38" s="32">
        <v>0.59861111111111098</v>
      </c>
      <c r="U38" s="364">
        <f t="shared" si="26"/>
        <v>56.999999999999957</v>
      </c>
      <c r="V38" s="365">
        <f t="shared" si="25"/>
        <v>112.99999999999991</v>
      </c>
      <c r="W38" s="16"/>
      <c r="X38" s="16"/>
      <c r="Y38" s="16"/>
      <c r="Z38" s="16"/>
      <c r="AA38" s="612"/>
      <c r="AB38" s="612"/>
      <c r="AC38" s="18"/>
      <c r="AD38" s="18"/>
      <c r="AE38" s="14">
        <f t="shared" si="8"/>
        <v>-111.50442477875913</v>
      </c>
      <c r="AF38" s="363">
        <f t="shared" si="9"/>
        <v>0.95353982300885032</v>
      </c>
      <c r="AG38" s="616"/>
    </row>
    <row r="39" spans="1:33" ht="15.75" customHeight="1">
      <c r="A39" s="633" t="s">
        <v>1932</v>
      </c>
      <c r="B39" s="27" t="s">
        <v>20</v>
      </c>
      <c r="C39" s="659" t="s">
        <v>22</v>
      </c>
      <c r="D39" s="659"/>
      <c r="E39" s="27">
        <v>26.37</v>
      </c>
      <c r="F39" s="367">
        <v>2827</v>
      </c>
      <c r="G39" s="364">
        <f t="shared" si="23"/>
        <v>74547.990000000005</v>
      </c>
      <c r="H39" s="31" t="s">
        <v>40</v>
      </c>
      <c r="I39" s="362">
        <v>18</v>
      </c>
      <c r="J39" s="29">
        <v>2400</v>
      </c>
      <c r="K39" s="12">
        <f t="shared" si="1"/>
        <v>133.33333333333334</v>
      </c>
      <c r="L39" s="362">
        <v>18</v>
      </c>
      <c r="M39" s="13">
        <f t="shared" si="24"/>
        <v>2292.1621621621603</v>
      </c>
      <c r="N39" s="12">
        <f t="shared" si="3"/>
        <v>127.34234234234223</v>
      </c>
      <c r="O39" s="14">
        <f t="shared" si="4"/>
        <v>0</v>
      </c>
      <c r="P39" s="15">
        <f t="shared" si="5"/>
        <v>-5.9909909909911079</v>
      </c>
      <c r="Q39" s="363">
        <f t="shared" si="6"/>
        <v>0.95506756756756672</v>
      </c>
      <c r="R39" s="616"/>
      <c r="S39" s="32">
        <v>0.60277777777777763</v>
      </c>
      <c r="T39" s="32">
        <v>0.65416666666666656</v>
      </c>
      <c r="U39" s="364">
        <f t="shared" si="26"/>
        <v>5.9999999999999787</v>
      </c>
      <c r="V39" s="365">
        <f t="shared" si="25"/>
        <v>74.000000000000057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-107.83783783783974</v>
      </c>
      <c r="AF39" s="363">
        <f t="shared" si="9"/>
        <v>0.95506756756756672</v>
      </c>
      <c r="AG39" s="616"/>
    </row>
    <row r="40" spans="1:33" ht="15.75" customHeight="1">
      <c r="A40" s="633" t="s">
        <v>1932</v>
      </c>
      <c r="B40" s="27" t="s">
        <v>20</v>
      </c>
      <c r="C40" s="374" t="s">
        <v>57</v>
      </c>
      <c r="D40" s="375"/>
      <c r="E40" s="27">
        <v>26.18</v>
      </c>
      <c r="F40" s="367">
        <v>3722</v>
      </c>
      <c r="G40" s="364">
        <f t="shared" si="23"/>
        <v>97441.959999999992</v>
      </c>
      <c r="H40" s="31" t="s">
        <v>40</v>
      </c>
      <c r="I40" s="362">
        <v>18</v>
      </c>
      <c r="J40" s="29">
        <v>2400</v>
      </c>
      <c r="K40" s="12">
        <f t="shared" si="1"/>
        <v>133.33333333333334</v>
      </c>
      <c r="L40" s="362">
        <v>18</v>
      </c>
      <c r="M40" s="13">
        <f t="shared" si="24"/>
        <v>2302.2680412371142</v>
      </c>
      <c r="N40" s="12">
        <f t="shared" si="3"/>
        <v>127.90378006872857</v>
      </c>
      <c r="O40" s="14">
        <f t="shared" si="4"/>
        <v>0</v>
      </c>
      <c r="P40" s="15">
        <f t="shared" si="5"/>
        <v>-5.4295532646047775</v>
      </c>
      <c r="Q40" s="363">
        <f t="shared" si="6"/>
        <v>0.95927835051546417</v>
      </c>
      <c r="R40" s="616"/>
      <c r="S40" s="32">
        <v>0.65763888888888877</v>
      </c>
      <c r="T40" s="32">
        <v>0.72499999999999987</v>
      </c>
      <c r="U40" s="364">
        <f t="shared" si="26"/>
        <v>4.9999999999999822</v>
      </c>
      <c r="V40" s="365">
        <f t="shared" si="25"/>
        <v>96.999999999999972</v>
      </c>
      <c r="W40" s="16"/>
      <c r="X40" s="16"/>
      <c r="Y40" s="16"/>
      <c r="Z40" s="16"/>
      <c r="AA40" s="369"/>
      <c r="AB40" s="370"/>
      <c r="AC40" s="18"/>
      <c r="AD40" s="18"/>
      <c r="AE40" s="14">
        <f t="shared" si="8"/>
        <v>-97.731958762885824</v>
      </c>
      <c r="AF40" s="363">
        <f t="shared" si="9"/>
        <v>0.95927835051546428</v>
      </c>
      <c r="AG40" s="616"/>
    </row>
    <row r="41" spans="1:33" ht="15.75" customHeight="1">
      <c r="A41" s="633" t="s">
        <v>1932</v>
      </c>
      <c r="B41" s="27" t="s">
        <v>1931</v>
      </c>
      <c r="C41" s="658"/>
      <c r="D41" s="658"/>
      <c r="E41" s="368"/>
      <c r="F41" s="367"/>
      <c r="G41" s="364"/>
      <c r="H41" s="367"/>
      <c r="I41" s="21">
        <v>17.5</v>
      </c>
      <c r="J41" s="29">
        <v>2400</v>
      </c>
      <c r="K41" s="12">
        <f t="shared" si="1"/>
        <v>137.14285714285714</v>
      </c>
      <c r="L41" s="21">
        <v>17.5</v>
      </c>
      <c r="M41" s="13">
        <f>AVERAGE(M33:M40)</f>
        <v>2290.5804699782875</v>
      </c>
      <c r="N41" s="12">
        <f t="shared" si="3"/>
        <v>130.89031257018786</v>
      </c>
      <c r="O41" s="14">
        <f t="shared" si="4"/>
        <v>0</v>
      </c>
      <c r="P41" s="15">
        <f t="shared" si="5"/>
        <v>-6.2525445726692794</v>
      </c>
      <c r="Q41" s="363">
        <f t="shared" si="6"/>
        <v>0.95440852915761987</v>
      </c>
      <c r="R41" s="616"/>
      <c r="S41" s="32"/>
      <c r="T41" s="32"/>
      <c r="U41" s="364"/>
      <c r="V41" s="365"/>
      <c r="W41" s="364"/>
      <c r="X41" s="364"/>
      <c r="Y41" s="22">
        <f>SUM(Y33:Y40)</f>
        <v>0</v>
      </c>
      <c r="Z41" s="22">
        <f>SUM(Z33:Z40)</f>
        <v>0</v>
      </c>
      <c r="AA41" s="611"/>
      <c r="AB41" s="611"/>
      <c r="AC41" s="22">
        <v>8</v>
      </c>
      <c r="AD41" s="22">
        <f>SUM(AD33:AD40)</f>
        <v>0</v>
      </c>
      <c r="AE41" s="14">
        <f t="shared" si="8"/>
        <v>-109.41953002171249</v>
      </c>
      <c r="AF41" s="363">
        <f t="shared" si="9"/>
        <v>0.95440852915761976</v>
      </c>
      <c r="AG41" s="616"/>
    </row>
    <row r="42" spans="1:33" ht="15.75" customHeight="1">
      <c r="A42" s="629" t="s">
        <v>1934</v>
      </c>
      <c r="B42" s="27" t="s">
        <v>20</v>
      </c>
      <c r="C42" s="660" t="s">
        <v>58</v>
      </c>
      <c r="D42" s="660"/>
      <c r="E42" s="27">
        <v>26.18</v>
      </c>
      <c r="F42" s="367">
        <v>3900</v>
      </c>
      <c r="G42" s="364">
        <f t="shared" ref="G42:G49" si="27">E42*F42</f>
        <v>102102</v>
      </c>
      <c r="H42" s="31">
        <v>2</v>
      </c>
      <c r="I42" s="362">
        <v>20</v>
      </c>
      <c r="J42" s="29">
        <v>2400</v>
      </c>
      <c r="K42" s="12">
        <f t="shared" si="1"/>
        <v>120</v>
      </c>
      <c r="L42" s="362">
        <v>20</v>
      </c>
      <c r="M42" s="13">
        <f t="shared" ref="M42:M49" si="28">F42/V42*60</f>
        <v>2294.117647058823</v>
      </c>
      <c r="N42" s="12">
        <f t="shared" si="3"/>
        <v>114.70588235294115</v>
      </c>
      <c r="O42" s="14">
        <f t="shared" si="4"/>
        <v>0</v>
      </c>
      <c r="P42" s="15">
        <f t="shared" si="5"/>
        <v>-5.2941176470588545</v>
      </c>
      <c r="Q42" s="363">
        <f t="shared" si="6"/>
        <v>0.95588235294117618</v>
      </c>
      <c r="R42" s="616">
        <f>Q50</f>
        <v>0.95684332257906035</v>
      </c>
      <c r="S42" s="32">
        <v>8.3333333333333329E-2</v>
      </c>
      <c r="T42" s="32">
        <v>0.15416666666666667</v>
      </c>
      <c r="U42" s="364"/>
      <c r="V42" s="365">
        <f t="shared" ref="V42:V49" si="29">(T42-S42)*24*60</f>
        <v>102.00000000000001</v>
      </c>
      <c r="W42" s="20">
        <f>T42</f>
        <v>0.15416666666666667</v>
      </c>
      <c r="X42" s="20">
        <f>S43</f>
        <v>0.17500000000000002</v>
      </c>
      <c r="Y42" s="20"/>
      <c r="Z42" s="20"/>
      <c r="AA42" s="612"/>
      <c r="AB42" s="612"/>
      <c r="AC42" s="18">
        <v>8</v>
      </c>
      <c r="AD42" s="18"/>
      <c r="AE42" s="14">
        <f t="shared" si="8"/>
        <v>-105.88235294117703</v>
      </c>
      <c r="AF42" s="363">
        <f t="shared" si="9"/>
        <v>0.95588235294117618</v>
      </c>
      <c r="AG42" s="616">
        <f>AF50</f>
        <v>0.95684332257906035</v>
      </c>
    </row>
    <row r="43" spans="1:33" ht="15.75" customHeight="1">
      <c r="A43" s="629" t="s">
        <v>1934</v>
      </c>
      <c r="B43" s="27" t="s">
        <v>20</v>
      </c>
      <c r="C43" s="660" t="s">
        <v>25</v>
      </c>
      <c r="D43" s="660"/>
      <c r="E43" s="27">
        <v>24.43</v>
      </c>
      <c r="F43" s="367">
        <v>4200</v>
      </c>
      <c r="G43" s="364">
        <f t="shared" si="27"/>
        <v>102606</v>
      </c>
      <c r="H43" s="31">
        <v>2</v>
      </c>
      <c r="I43" s="362">
        <v>14</v>
      </c>
      <c r="J43" s="29">
        <v>2400</v>
      </c>
      <c r="K43" s="12">
        <f t="shared" si="1"/>
        <v>171.42857142857142</v>
      </c>
      <c r="L43" s="362">
        <v>14</v>
      </c>
      <c r="M43" s="13">
        <f t="shared" si="28"/>
        <v>2290.9090909090914</v>
      </c>
      <c r="N43" s="12">
        <f t="shared" si="3"/>
        <v>163.63636363636368</v>
      </c>
      <c r="O43" s="14">
        <f t="shared" si="4"/>
        <v>0</v>
      </c>
      <c r="P43" s="15">
        <f t="shared" si="5"/>
        <v>-7.7922077922077335</v>
      </c>
      <c r="Q43" s="363">
        <f t="shared" si="6"/>
        <v>0.95454545454545492</v>
      </c>
      <c r="R43" s="616"/>
      <c r="S43" s="32">
        <v>0.17500000000000002</v>
      </c>
      <c r="T43" s="32">
        <v>0.25138888888888888</v>
      </c>
      <c r="U43" s="364">
        <f t="shared" ref="U43:U49" si="30">(S43-T42)*24*60</f>
        <v>30.000000000000014</v>
      </c>
      <c r="V43" s="365">
        <f t="shared" si="29"/>
        <v>109.99999999999997</v>
      </c>
      <c r="W43" s="364"/>
      <c r="X43" s="364"/>
      <c r="Y43" s="364"/>
      <c r="Z43" s="364"/>
      <c r="AA43" s="612"/>
      <c r="AB43" s="612"/>
      <c r="AC43" s="18"/>
      <c r="AD43" s="18"/>
      <c r="AE43" s="14">
        <f t="shared" si="8"/>
        <v>-109.09090909090855</v>
      </c>
      <c r="AF43" s="363">
        <f t="shared" si="9"/>
        <v>0.95454545454545481</v>
      </c>
      <c r="AG43" s="616"/>
    </row>
    <row r="44" spans="1:33">
      <c r="A44" s="630" t="s">
        <v>1934</v>
      </c>
      <c r="B44" s="27" t="s">
        <v>20</v>
      </c>
      <c r="C44" s="660" t="s">
        <v>83</v>
      </c>
      <c r="D44" s="660"/>
      <c r="E44" s="27">
        <v>25.98</v>
      </c>
      <c r="F44" s="367">
        <v>4137</v>
      </c>
      <c r="G44" s="364">
        <f t="shared" si="27"/>
        <v>107479.26</v>
      </c>
      <c r="H44" s="31" t="s">
        <v>40</v>
      </c>
      <c r="I44" s="362">
        <v>20</v>
      </c>
      <c r="J44" s="29">
        <v>2400</v>
      </c>
      <c r="K44" s="12">
        <f t="shared" si="1"/>
        <v>120</v>
      </c>
      <c r="L44" s="362">
        <v>20</v>
      </c>
      <c r="M44" s="13">
        <f t="shared" si="28"/>
        <v>2298.333333333333</v>
      </c>
      <c r="N44" s="12">
        <f t="shared" si="3"/>
        <v>114.91666666666666</v>
      </c>
      <c r="O44" s="14">
        <f t="shared" si="4"/>
        <v>0</v>
      </c>
      <c r="P44" s="15">
        <f t="shared" si="5"/>
        <v>-5.0833333333333428</v>
      </c>
      <c r="Q44" s="363">
        <f t="shared" si="6"/>
        <v>0.95763888888888882</v>
      </c>
      <c r="R44" s="616"/>
      <c r="S44" s="32">
        <v>0.25555555555555554</v>
      </c>
      <c r="T44" s="32">
        <v>0.33055555555555555</v>
      </c>
      <c r="U44" s="364">
        <f t="shared" si="30"/>
        <v>5.9999999999999787</v>
      </c>
      <c r="V44" s="365">
        <f t="shared" si="29"/>
        <v>108.00000000000001</v>
      </c>
      <c r="W44" s="364"/>
      <c r="X44" s="364"/>
      <c r="Y44" s="364"/>
      <c r="Z44" s="364"/>
      <c r="AA44" s="612"/>
      <c r="AB44" s="612"/>
      <c r="AC44" s="18"/>
      <c r="AD44" s="18"/>
      <c r="AE44" s="14">
        <f t="shared" si="8"/>
        <v>-101.66666666666697</v>
      </c>
      <c r="AF44" s="363">
        <f t="shared" si="9"/>
        <v>0.95763888888888882</v>
      </c>
      <c r="AG44" s="616"/>
    </row>
    <row r="45" spans="1:33">
      <c r="A45" s="630" t="s">
        <v>1934</v>
      </c>
      <c r="B45" s="27" t="s">
        <v>20</v>
      </c>
      <c r="C45" s="660" t="s">
        <v>26</v>
      </c>
      <c r="D45" s="660"/>
      <c r="E45" s="27">
        <v>34.1</v>
      </c>
      <c r="F45" s="367">
        <v>3900</v>
      </c>
      <c r="G45" s="364">
        <f t="shared" si="27"/>
        <v>132990</v>
      </c>
      <c r="H45" s="31">
        <v>2</v>
      </c>
      <c r="I45" s="362">
        <v>17</v>
      </c>
      <c r="J45" s="29">
        <v>1600</v>
      </c>
      <c r="K45" s="12">
        <f t="shared" si="1"/>
        <v>94.117647058823536</v>
      </c>
      <c r="L45" s="362">
        <v>17</v>
      </c>
      <c r="M45" s="13">
        <f t="shared" si="28"/>
        <v>1529.411764705882</v>
      </c>
      <c r="N45" s="12">
        <f t="shared" si="3"/>
        <v>89.965397923875415</v>
      </c>
      <c r="O45" s="14">
        <f t="shared" si="4"/>
        <v>0</v>
      </c>
      <c r="P45" s="15">
        <f t="shared" si="5"/>
        <v>-4.1522491349481214</v>
      </c>
      <c r="Q45" s="363">
        <f t="shared" si="6"/>
        <v>0.95588235294117618</v>
      </c>
      <c r="R45" s="616"/>
      <c r="S45" s="32">
        <v>0.33402777777777776</v>
      </c>
      <c r="T45" s="32">
        <v>0.44027777777777777</v>
      </c>
      <c r="U45" s="364">
        <f t="shared" si="30"/>
        <v>4.9999999999999822</v>
      </c>
      <c r="V45" s="365">
        <f t="shared" si="29"/>
        <v>153.00000000000003</v>
      </c>
      <c r="W45" s="16"/>
      <c r="X45" s="16"/>
      <c r="Y45" s="16"/>
      <c r="Z45" s="16"/>
      <c r="AA45" s="612"/>
      <c r="AB45" s="612"/>
      <c r="AC45" s="18"/>
      <c r="AD45" s="18"/>
      <c r="AE45" s="14">
        <f t="shared" si="8"/>
        <v>-70.588235294118022</v>
      </c>
      <c r="AF45" s="363">
        <f t="shared" si="9"/>
        <v>0.95588235294117618</v>
      </c>
      <c r="AG45" s="616"/>
    </row>
    <row r="46" spans="1:33">
      <c r="A46" s="630" t="s">
        <v>1934</v>
      </c>
      <c r="B46" s="27" t="s">
        <v>20</v>
      </c>
      <c r="C46" s="660" t="s">
        <v>64</v>
      </c>
      <c r="D46" s="660"/>
      <c r="E46" s="27">
        <v>20.21</v>
      </c>
      <c r="F46" s="367">
        <v>2848</v>
      </c>
      <c r="G46" s="364">
        <f t="shared" si="27"/>
        <v>57558.080000000002</v>
      </c>
      <c r="H46" s="31" t="s">
        <v>40</v>
      </c>
      <c r="I46" s="362">
        <v>18</v>
      </c>
      <c r="J46" s="29">
        <v>2400</v>
      </c>
      <c r="K46" s="12">
        <f t="shared" si="1"/>
        <v>133.33333333333334</v>
      </c>
      <c r="L46" s="362">
        <v>18</v>
      </c>
      <c r="M46" s="13">
        <f t="shared" si="28"/>
        <v>2309.1891891891901</v>
      </c>
      <c r="N46" s="12">
        <f t="shared" si="3"/>
        <v>128.28828828828833</v>
      </c>
      <c r="O46" s="14">
        <f t="shared" si="4"/>
        <v>0</v>
      </c>
      <c r="P46" s="15">
        <f t="shared" si="5"/>
        <v>-5.0450450450450148</v>
      </c>
      <c r="Q46" s="363">
        <f t="shared" si="6"/>
        <v>0.96216216216216244</v>
      </c>
      <c r="R46" s="616"/>
      <c r="S46" s="32">
        <v>0.44513888888888886</v>
      </c>
      <c r="T46" s="32">
        <v>0.49652777777777773</v>
      </c>
      <c r="U46" s="364">
        <f t="shared" si="30"/>
        <v>6.9999999999999751</v>
      </c>
      <c r="V46" s="365">
        <f t="shared" si="29"/>
        <v>73.999999999999972</v>
      </c>
      <c r="W46" s="16">
        <f>T46</f>
        <v>0.49652777777777773</v>
      </c>
      <c r="X46" s="16">
        <f>S47</f>
        <v>0.53611111111111109</v>
      </c>
      <c r="Y46" s="16"/>
      <c r="Z46" s="16"/>
      <c r="AA46" s="612"/>
      <c r="AB46" s="612"/>
      <c r="AC46" s="18"/>
      <c r="AD46" s="18"/>
      <c r="AE46" s="14">
        <f t="shared" si="8"/>
        <v>-90.810810810809926</v>
      </c>
      <c r="AF46" s="363">
        <f t="shared" si="9"/>
        <v>0.96216216216216255</v>
      </c>
      <c r="AG46" s="616"/>
    </row>
    <row r="47" spans="1:33">
      <c r="A47" s="630" t="s">
        <v>1935</v>
      </c>
      <c r="B47" s="27" t="s">
        <v>20</v>
      </c>
      <c r="C47" s="660" t="s">
        <v>58</v>
      </c>
      <c r="D47" s="660"/>
      <c r="E47" s="27">
        <v>26.18</v>
      </c>
      <c r="F47" s="367">
        <v>2612</v>
      </c>
      <c r="G47" s="364">
        <f t="shared" si="27"/>
        <v>68382.16</v>
      </c>
      <c r="H47" s="31" t="s">
        <v>40</v>
      </c>
      <c r="I47" s="362">
        <v>20</v>
      </c>
      <c r="J47" s="29">
        <v>2400</v>
      </c>
      <c r="K47" s="12">
        <f t="shared" si="1"/>
        <v>120</v>
      </c>
      <c r="L47" s="362">
        <v>20</v>
      </c>
      <c r="M47" s="13">
        <f t="shared" si="28"/>
        <v>2304.7058823529437</v>
      </c>
      <c r="N47" s="12">
        <f t="shared" si="3"/>
        <v>115.23529411764719</v>
      </c>
      <c r="O47" s="14">
        <f t="shared" si="4"/>
        <v>0</v>
      </c>
      <c r="P47" s="15">
        <f t="shared" si="5"/>
        <v>-4.7647058823528141</v>
      </c>
      <c r="Q47" s="363">
        <f t="shared" si="6"/>
        <v>0.96029411764705985</v>
      </c>
      <c r="R47" s="616"/>
      <c r="S47" s="32">
        <v>0.53611111111111109</v>
      </c>
      <c r="T47" s="32">
        <v>0.58333333333333326</v>
      </c>
      <c r="U47" s="364">
        <f t="shared" si="30"/>
        <v>57.000000000000036</v>
      </c>
      <c r="V47" s="365">
        <f t="shared" si="29"/>
        <v>67.999999999999915</v>
      </c>
      <c r="W47" s="16"/>
      <c r="X47" s="16"/>
      <c r="Y47" s="16"/>
      <c r="Z47" s="16"/>
      <c r="AA47" s="612"/>
      <c r="AB47" s="612"/>
      <c r="AC47" s="18"/>
      <c r="AD47" s="18"/>
      <c r="AE47" s="14">
        <f t="shared" si="8"/>
        <v>-95.294117647056282</v>
      </c>
      <c r="AF47" s="363">
        <f t="shared" si="9"/>
        <v>0.96029411764705985</v>
      </c>
      <c r="AG47" s="616"/>
    </row>
    <row r="48" spans="1:33">
      <c r="A48" s="630" t="s">
        <v>1935</v>
      </c>
      <c r="B48" s="27" t="s">
        <v>20</v>
      </c>
      <c r="C48" s="660" t="s">
        <v>25</v>
      </c>
      <c r="D48" s="660"/>
      <c r="E48" s="27">
        <v>24.43</v>
      </c>
      <c r="F48" s="367">
        <v>3310</v>
      </c>
      <c r="G48" s="364">
        <f t="shared" si="27"/>
        <v>80863.3</v>
      </c>
      <c r="H48" s="31" t="s">
        <v>40</v>
      </c>
      <c r="I48" s="362">
        <v>14</v>
      </c>
      <c r="J48" s="29">
        <v>2400</v>
      </c>
      <c r="K48" s="12">
        <f t="shared" si="1"/>
        <v>171.42857142857142</v>
      </c>
      <c r="L48" s="362">
        <v>14</v>
      </c>
      <c r="M48" s="13">
        <f t="shared" si="28"/>
        <v>2282.7586206896549</v>
      </c>
      <c r="N48" s="12">
        <f t="shared" si="3"/>
        <v>163.05418719211821</v>
      </c>
      <c r="O48" s="14">
        <f t="shared" si="4"/>
        <v>0</v>
      </c>
      <c r="P48" s="15">
        <f t="shared" si="5"/>
        <v>-8.37438423645321</v>
      </c>
      <c r="Q48" s="363">
        <f t="shared" si="6"/>
        <v>0.95114942528735624</v>
      </c>
      <c r="R48" s="616"/>
      <c r="S48" s="32">
        <v>0.5888888888888888</v>
      </c>
      <c r="T48" s="32">
        <v>0.64930555555555547</v>
      </c>
      <c r="U48" s="364">
        <f t="shared" si="30"/>
        <v>7.9999999999999716</v>
      </c>
      <c r="V48" s="365">
        <f t="shared" si="29"/>
        <v>87.000000000000014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-117.24137931034511</v>
      </c>
      <c r="AF48" s="363">
        <f t="shared" si="9"/>
        <v>0.95114942528735624</v>
      </c>
      <c r="AG48" s="616"/>
    </row>
    <row r="49" spans="1:33">
      <c r="A49" s="630" t="s">
        <v>1934</v>
      </c>
      <c r="B49" s="27" t="s">
        <v>20</v>
      </c>
      <c r="C49" s="660" t="s">
        <v>26</v>
      </c>
      <c r="D49" s="660"/>
      <c r="E49" s="27">
        <v>34.1</v>
      </c>
      <c r="F49" s="367">
        <v>3011</v>
      </c>
      <c r="G49" s="364">
        <f t="shared" si="27"/>
        <v>102675.1</v>
      </c>
      <c r="H49" s="31" t="s">
        <v>40</v>
      </c>
      <c r="I49" s="362">
        <v>17</v>
      </c>
      <c r="J49" s="29">
        <v>1600</v>
      </c>
      <c r="K49" s="12">
        <f t="shared" si="1"/>
        <v>94.117647058823536</v>
      </c>
      <c r="L49" s="362">
        <v>17</v>
      </c>
      <c r="M49" s="13">
        <f t="shared" si="28"/>
        <v>1531.0169491525417</v>
      </c>
      <c r="N49" s="12">
        <f t="shared" si="3"/>
        <v>90.059820538384798</v>
      </c>
      <c r="O49" s="14">
        <f t="shared" si="4"/>
        <v>0</v>
      </c>
      <c r="P49" s="15">
        <f t="shared" si="5"/>
        <v>-4.0578265204387378</v>
      </c>
      <c r="Q49" s="363">
        <f t="shared" si="6"/>
        <v>0.95688559322033839</v>
      </c>
      <c r="R49" s="616"/>
      <c r="S49" s="32">
        <v>0.65416666666666656</v>
      </c>
      <c r="T49" s="32">
        <v>0.73611111111111105</v>
      </c>
      <c r="U49" s="364">
        <f t="shared" si="30"/>
        <v>6.9999999999999751</v>
      </c>
      <c r="V49" s="365">
        <f t="shared" si="29"/>
        <v>118.00000000000006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-68.983050847458344</v>
      </c>
      <c r="AF49" s="363">
        <f t="shared" si="9"/>
        <v>0.9568855932203385</v>
      </c>
      <c r="AG49" s="616"/>
    </row>
    <row r="50" spans="1:33">
      <c r="A50" s="630" t="s">
        <v>1935</v>
      </c>
      <c r="B50" s="28" t="s">
        <v>1924</v>
      </c>
      <c r="C50" s="658"/>
      <c r="D50" s="658"/>
      <c r="E50" s="368"/>
      <c r="F50" s="28"/>
      <c r="G50" s="12"/>
      <c r="H50" s="367"/>
      <c r="I50" s="21">
        <v>17.5</v>
      </c>
      <c r="J50" s="29">
        <v>2200</v>
      </c>
      <c r="K50" s="12">
        <f t="shared" si="1"/>
        <v>125.71428571428571</v>
      </c>
      <c r="L50" s="21">
        <v>17.5</v>
      </c>
      <c r="M50" s="13">
        <f>AVERAGE(M42:M49)</f>
        <v>2105.0553096739327</v>
      </c>
      <c r="N50" s="12">
        <f t="shared" si="3"/>
        <v>120.28887483851044</v>
      </c>
      <c r="O50" s="14">
        <f t="shared" si="4"/>
        <v>0</v>
      </c>
      <c r="P50" s="15">
        <f t="shared" si="5"/>
        <v>-5.4254108757752704</v>
      </c>
      <c r="Q50" s="363">
        <f t="shared" si="6"/>
        <v>0.95684332257906035</v>
      </c>
      <c r="R50" s="616"/>
      <c r="S50" s="32"/>
      <c r="T50" s="32"/>
      <c r="U50" s="12"/>
      <c r="V50" s="365"/>
      <c r="W50" s="12"/>
      <c r="X50" s="12"/>
      <c r="Y50" s="22">
        <f>SUM(Y42:Y49)</f>
        <v>0</v>
      </c>
      <c r="Z50" s="22">
        <f>SUM(Z42:Z49)</f>
        <v>0</v>
      </c>
      <c r="AA50" s="611"/>
      <c r="AB50" s="611"/>
      <c r="AC50" s="22">
        <v>8</v>
      </c>
      <c r="AD50" s="22">
        <f>SUM(AD42:AD49)</f>
        <v>0</v>
      </c>
      <c r="AE50" s="14">
        <f t="shared" si="8"/>
        <v>-94.944690326067303</v>
      </c>
      <c r="AF50" s="363">
        <f t="shared" si="9"/>
        <v>0.95684332257906035</v>
      </c>
      <c r="AG50" s="616"/>
    </row>
    <row r="51" spans="1:33" ht="15.75" customHeight="1">
      <c r="A51" s="623" t="s">
        <v>1936</v>
      </c>
      <c r="B51" s="27" t="s">
        <v>27</v>
      </c>
      <c r="C51" s="605" t="s">
        <v>33</v>
      </c>
      <c r="D51" s="606"/>
      <c r="E51" s="27">
        <v>34.36</v>
      </c>
      <c r="F51" s="367">
        <v>2688</v>
      </c>
      <c r="G51" s="364">
        <f t="shared" ref="G51:G54" si="31">E51*F51</f>
        <v>92359.679999999993</v>
      </c>
      <c r="H51" s="31" t="s">
        <v>40</v>
      </c>
      <c r="I51" s="362">
        <v>10</v>
      </c>
      <c r="J51" s="29">
        <v>3000</v>
      </c>
      <c r="K51" s="12">
        <f t="shared" si="1"/>
        <v>300</v>
      </c>
      <c r="L51" s="362">
        <v>10</v>
      </c>
      <c r="M51" s="13">
        <f t="shared" ref="M51:M54" si="32">F51/V51*60</f>
        <v>2880</v>
      </c>
      <c r="N51" s="13">
        <f t="shared" si="3"/>
        <v>288</v>
      </c>
      <c r="O51" s="14">
        <f t="shared" si="4"/>
        <v>0</v>
      </c>
      <c r="P51" s="15">
        <f t="shared" si="5"/>
        <v>-12</v>
      </c>
      <c r="Q51" s="363">
        <f t="shared" si="6"/>
        <v>0.96</v>
      </c>
      <c r="R51" s="626">
        <f>Q55</f>
        <v>0.95900863523573177</v>
      </c>
      <c r="S51" s="32">
        <v>0.20833333333333334</v>
      </c>
      <c r="T51" s="32">
        <v>0.24722222222222223</v>
      </c>
      <c r="U51" s="20"/>
      <c r="V51" s="365">
        <f t="shared" ref="V51:V54" si="33">(T51-S51)*24*60</f>
        <v>56</v>
      </c>
      <c r="W51" s="16"/>
      <c r="X51" s="16"/>
      <c r="Y51" s="19"/>
      <c r="Z51" s="19"/>
      <c r="AA51" s="607"/>
      <c r="AB51" s="608"/>
      <c r="AC51" s="18">
        <v>4</v>
      </c>
      <c r="AD51" s="18"/>
      <c r="AE51" s="14">
        <f t="shared" si="8"/>
        <v>-120</v>
      </c>
      <c r="AF51" s="363">
        <f t="shared" si="9"/>
        <v>0.96</v>
      </c>
      <c r="AG51" s="626">
        <f>AF55</f>
        <v>0.95900863523573177</v>
      </c>
    </row>
    <row r="52" spans="1:33" ht="15.75" customHeight="1">
      <c r="A52" s="624" t="s">
        <v>75</v>
      </c>
      <c r="B52" s="27" t="s">
        <v>27</v>
      </c>
      <c r="C52" s="605" t="s">
        <v>29</v>
      </c>
      <c r="D52" s="606"/>
      <c r="E52" s="27">
        <v>21.13</v>
      </c>
      <c r="F52" s="367">
        <v>6213</v>
      </c>
      <c r="G52" s="364">
        <f t="shared" si="31"/>
        <v>131280.69</v>
      </c>
      <c r="H52" s="31" t="s">
        <v>40</v>
      </c>
      <c r="I52" s="362">
        <v>10</v>
      </c>
      <c r="J52" s="29">
        <v>3000</v>
      </c>
      <c r="K52" s="12">
        <f t="shared" si="1"/>
        <v>300</v>
      </c>
      <c r="L52" s="362">
        <v>10</v>
      </c>
      <c r="M52" s="13">
        <f t="shared" si="32"/>
        <v>2867.538461538461</v>
      </c>
      <c r="N52" s="13">
        <f t="shared" si="3"/>
        <v>286.7538461538461</v>
      </c>
      <c r="O52" s="14">
        <f t="shared" si="4"/>
        <v>0</v>
      </c>
      <c r="P52" s="15">
        <f t="shared" si="5"/>
        <v>-13.246153846153902</v>
      </c>
      <c r="Q52" s="363">
        <f t="shared" si="6"/>
        <v>0.95584615384615368</v>
      </c>
      <c r="R52" s="627"/>
      <c r="S52" s="32">
        <v>0.25138888888888888</v>
      </c>
      <c r="T52" s="32">
        <v>0.34166666666666667</v>
      </c>
      <c r="U52" s="364">
        <f t="shared" ref="U52:U54" si="34">(S52-T51)*24*60</f>
        <v>5.9999999999999787</v>
      </c>
      <c r="V52" s="365">
        <f t="shared" si="33"/>
        <v>130.00000000000003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-132.46153846153902</v>
      </c>
      <c r="AF52" s="363">
        <f t="shared" si="9"/>
        <v>0.95584615384615368</v>
      </c>
      <c r="AG52" s="627"/>
    </row>
    <row r="53" spans="1:33" ht="15.75" customHeight="1">
      <c r="A53" s="624" t="s">
        <v>75</v>
      </c>
      <c r="B53" s="27" t="s">
        <v>27</v>
      </c>
      <c r="C53" s="605" t="s">
        <v>30</v>
      </c>
      <c r="D53" s="606"/>
      <c r="E53" s="27">
        <v>27.17</v>
      </c>
      <c r="F53" s="367">
        <v>5979</v>
      </c>
      <c r="G53" s="364">
        <f t="shared" si="31"/>
        <v>162449.43000000002</v>
      </c>
      <c r="H53" s="31" t="s">
        <v>40</v>
      </c>
      <c r="I53" s="362">
        <v>10</v>
      </c>
      <c r="J53" s="29">
        <v>3000</v>
      </c>
      <c r="K53" s="12">
        <f t="shared" si="1"/>
        <v>300</v>
      </c>
      <c r="L53" s="362">
        <v>10</v>
      </c>
      <c r="M53" s="13">
        <f t="shared" si="32"/>
        <v>2869.9199999999992</v>
      </c>
      <c r="N53" s="13">
        <f t="shared" si="3"/>
        <v>286.9919999999999</v>
      </c>
      <c r="O53" s="14">
        <f t="shared" si="4"/>
        <v>0</v>
      </c>
      <c r="P53" s="15">
        <f t="shared" si="5"/>
        <v>-13.008000000000095</v>
      </c>
      <c r="Q53" s="363">
        <f t="shared" si="6"/>
        <v>0.95663999999999971</v>
      </c>
      <c r="R53" s="627"/>
      <c r="S53" s="32">
        <v>0.34652777777777777</v>
      </c>
      <c r="T53" s="32">
        <v>0.43333333333333335</v>
      </c>
      <c r="U53" s="364">
        <f t="shared" si="34"/>
        <v>6.9999999999999751</v>
      </c>
      <c r="V53" s="365">
        <f t="shared" si="33"/>
        <v>125.00000000000003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-130.08000000000084</v>
      </c>
      <c r="AF53" s="363">
        <f t="shared" si="9"/>
        <v>0.95663999999999971</v>
      </c>
      <c r="AG53" s="627"/>
    </row>
    <row r="54" spans="1:33" ht="15.75" customHeight="1">
      <c r="A54" s="624" t="s">
        <v>75</v>
      </c>
      <c r="B54" s="27" t="s">
        <v>27</v>
      </c>
      <c r="C54" s="605" t="s">
        <v>35</v>
      </c>
      <c r="D54" s="606"/>
      <c r="E54" s="27">
        <v>35.869999999999997</v>
      </c>
      <c r="F54" s="367">
        <v>2987</v>
      </c>
      <c r="G54" s="364">
        <f t="shared" si="31"/>
        <v>107143.68999999999</v>
      </c>
      <c r="H54" s="31" t="s">
        <v>40</v>
      </c>
      <c r="I54" s="362">
        <v>9</v>
      </c>
      <c r="J54" s="29">
        <v>3000</v>
      </c>
      <c r="K54" s="12">
        <f t="shared" si="1"/>
        <v>333.33333333333331</v>
      </c>
      <c r="L54" s="362">
        <v>9</v>
      </c>
      <c r="M54" s="13">
        <f t="shared" si="32"/>
        <v>2890.6451612903215</v>
      </c>
      <c r="N54" s="13">
        <f t="shared" si="3"/>
        <v>321.18279569892462</v>
      </c>
      <c r="O54" s="14">
        <f t="shared" si="4"/>
        <v>0</v>
      </c>
      <c r="P54" s="15">
        <f t="shared" si="5"/>
        <v>-12.150537634408693</v>
      </c>
      <c r="Q54" s="363">
        <f t="shared" si="6"/>
        <v>0.96354838709677393</v>
      </c>
      <c r="R54" s="627"/>
      <c r="S54" s="32">
        <v>0.43819444444444444</v>
      </c>
      <c r="T54" s="32">
        <v>0.48125000000000001</v>
      </c>
      <c r="U54" s="364">
        <f t="shared" si="34"/>
        <v>6.9999999999999751</v>
      </c>
      <c r="V54" s="365">
        <f t="shared" si="33"/>
        <v>62.000000000000021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-109.35483870967846</v>
      </c>
      <c r="AF54" s="363">
        <f t="shared" si="9"/>
        <v>0.96354838709677382</v>
      </c>
      <c r="AG54" s="627"/>
    </row>
    <row r="55" spans="1:33" ht="15.75" customHeight="1">
      <c r="A55" s="625" t="s">
        <v>1937</v>
      </c>
      <c r="B55" s="27" t="s">
        <v>1222</v>
      </c>
      <c r="C55" s="609"/>
      <c r="D55" s="610"/>
      <c r="E55" s="373"/>
      <c r="F55" s="367"/>
      <c r="G55" s="364"/>
      <c r="H55" s="367"/>
      <c r="I55" s="21">
        <v>9.75</v>
      </c>
      <c r="J55" s="29">
        <v>3000</v>
      </c>
      <c r="K55" s="12">
        <f t="shared" si="1"/>
        <v>307.69230769230768</v>
      </c>
      <c r="L55" s="21">
        <v>9.75</v>
      </c>
      <c r="M55" s="13">
        <f>AVERAGE(M51:M54)</f>
        <v>2877.0259057071953</v>
      </c>
      <c r="N55" s="12">
        <f t="shared" si="3"/>
        <v>295.07958007253285</v>
      </c>
      <c r="O55" s="14">
        <f t="shared" si="4"/>
        <v>0</v>
      </c>
      <c r="P55" s="15">
        <f t="shared" si="5"/>
        <v>-12.61272761977483</v>
      </c>
      <c r="Q55" s="363">
        <f t="shared" si="6"/>
        <v>0.95900863523573177</v>
      </c>
      <c r="R55" s="628"/>
      <c r="S55" s="32"/>
      <c r="T55" s="32"/>
      <c r="U55" s="364"/>
      <c r="V55" s="365"/>
      <c r="W55" s="16"/>
      <c r="X55" s="16"/>
      <c r="Y55" s="22">
        <f>SUM(Y51:Y54)</f>
        <v>0</v>
      </c>
      <c r="Z55" s="22">
        <f>SUM(Z51:Z54)</f>
        <v>0</v>
      </c>
      <c r="AA55" s="619"/>
      <c r="AB55" s="620"/>
      <c r="AC55" s="22">
        <v>4</v>
      </c>
      <c r="AD55" s="22">
        <f>SUM(AD51:AD54)</f>
        <v>0</v>
      </c>
      <c r="AE55" s="14">
        <f t="shared" si="8"/>
        <v>-122.97409429280469</v>
      </c>
      <c r="AF55" s="363">
        <f t="shared" si="9"/>
        <v>0.95900863523573177</v>
      </c>
      <c r="AG55" s="628"/>
    </row>
    <row r="56" spans="1:33" ht="15.75" customHeight="1">
      <c r="A56" s="621" t="s">
        <v>1938</v>
      </c>
      <c r="B56" s="27" t="s">
        <v>5</v>
      </c>
      <c r="C56" s="660" t="s">
        <v>15</v>
      </c>
      <c r="D56" s="660"/>
      <c r="E56" s="27">
        <v>59.04</v>
      </c>
      <c r="F56" s="30">
        <v>2356</v>
      </c>
      <c r="G56" s="364">
        <f t="shared" ref="G56:G63" si="35">E56*F56</f>
        <v>139098.23999999999</v>
      </c>
      <c r="H56" s="31" t="s">
        <v>40</v>
      </c>
      <c r="I56" s="362">
        <v>19</v>
      </c>
      <c r="J56" s="29">
        <v>2000</v>
      </c>
      <c r="K56" s="12">
        <f t="shared" si="1"/>
        <v>105.26315789473684</v>
      </c>
      <c r="L56" s="362">
        <v>19</v>
      </c>
      <c r="M56" s="13">
        <f t="shared" ref="M56" si="36">F56/V56*60</f>
        <v>1910.27027027027</v>
      </c>
      <c r="N56" s="13">
        <f t="shared" si="3"/>
        <v>100.54054054054052</v>
      </c>
      <c r="O56" s="14">
        <f t="shared" si="4"/>
        <v>0</v>
      </c>
      <c r="P56" s="15">
        <f t="shared" si="5"/>
        <v>-4.7226173541963163</v>
      </c>
      <c r="Q56" s="363">
        <f t="shared" si="6"/>
        <v>0.95513513513513504</v>
      </c>
      <c r="R56" s="616">
        <f>Q64</f>
        <v>0.96173677447195882</v>
      </c>
      <c r="S56" s="32">
        <v>0.20833333333333334</v>
      </c>
      <c r="T56" s="32">
        <v>0.25972222222222224</v>
      </c>
      <c r="U56" s="20"/>
      <c r="V56" s="365">
        <f t="shared" ref="V56:V63" si="37">(T56-S56)*24*60</f>
        <v>74.000000000000014</v>
      </c>
      <c r="W56" s="16"/>
      <c r="X56" s="16"/>
      <c r="Y56" s="20"/>
      <c r="Z56" s="20"/>
      <c r="AA56" s="612"/>
      <c r="AB56" s="612"/>
      <c r="AC56" s="18">
        <v>8</v>
      </c>
      <c r="AD56" s="18"/>
      <c r="AE56" s="14">
        <f t="shared" si="8"/>
        <v>-89.729729729730025</v>
      </c>
      <c r="AF56" s="363">
        <f t="shared" si="9"/>
        <v>0.95513513513513504</v>
      </c>
      <c r="AG56" s="616">
        <f>AF64</f>
        <v>0.96173677447195893</v>
      </c>
    </row>
    <row r="57" spans="1:33" ht="15.75" customHeight="1">
      <c r="A57" s="621" t="s">
        <v>71</v>
      </c>
      <c r="B57" s="27" t="s">
        <v>5</v>
      </c>
      <c r="C57" s="660" t="s">
        <v>31</v>
      </c>
      <c r="D57" s="660"/>
      <c r="E57" s="27">
        <v>56.43</v>
      </c>
      <c r="F57" s="30">
        <v>1543</v>
      </c>
      <c r="G57" s="364">
        <f t="shared" si="35"/>
        <v>87071.49</v>
      </c>
      <c r="H57" s="31" t="s">
        <v>40</v>
      </c>
      <c r="I57" s="362">
        <v>22</v>
      </c>
      <c r="J57" s="29">
        <v>2000</v>
      </c>
      <c r="K57" s="12">
        <f t="shared" si="1"/>
        <v>90.909090909090907</v>
      </c>
      <c r="L57" s="362">
        <v>22</v>
      </c>
      <c r="M57" s="13">
        <f>F57/V57*60</f>
        <v>1928.7500000000005</v>
      </c>
      <c r="N57" s="13">
        <f t="shared" si="3"/>
        <v>87.670454545454561</v>
      </c>
      <c r="O57" s="14">
        <f t="shared" si="4"/>
        <v>0</v>
      </c>
      <c r="P57" s="15">
        <f t="shared" si="5"/>
        <v>-3.2386363636363455</v>
      </c>
      <c r="Q57" s="363">
        <f t="shared" si="6"/>
        <v>0.9643750000000002</v>
      </c>
      <c r="R57" s="616"/>
      <c r="S57" s="32">
        <v>0.2638888888888889</v>
      </c>
      <c r="T57" s="32">
        <v>0.29722222222222222</v>
      </c>
      <c r="U57" s="364">
        <f t="shared" ref="U57:U63" si="38">IF(S57=TIME(17,0,0),"",(S57-T56)*24*60)</f>
        <v>5.9999999999999787</v>
      </c>
      <c r="V57" s="365">
        <f t="shared" si="37"/>
        <v>47.999999999999986</v>
      </c>
      <c r="W57" s="16"/>
      <c r="X57" s="16"/>
      <c r="Y57" s="16"/>
      <c r="Z57" s="16"/>
      <c r="AA57" s="612"/>
      <c r="AB57" s="612"/>
      <c r="AC57" s="18"/>
      <c r="AD57" s="18"/>
      <c r="AE57" s="14">
        <f t="shared" si="8"/>
        <v>-71.249999999999545</v>
      </c>
      <c r="AF57" s="363">
        <f t="shared" si="9"/>
        <v>0.9643750000000002</v>
      </c>
      <c r="AG57" s="616"/>
    </row>
    <row r="58" spans="1:33" ht="15.75" customHeight="1">
      <c r="A58" s="621" t="s">
        <v>71</v>
      </c>
      <c r="B58" s="27" t="s">
        <v>5</v>
      </c>
      <c r="C58" s="605" t="s">
        <v>81</v>
      </c>
      <c r="D58" s="606"/>
      <c r="E58" s="27">
        <v>51.44</v>
      </c>
      <c r="F58" s="30">
        <v>2141</v>
      </c>
      <c r="G58" s="364">
        <f t="shared" si="35"/>
        <v>110133.04</v>
      </c>
      <c r="H58" s="31" t="s">
        <v>40</v>
      </c>
      <c r="I58" s="362">
        <v>25</v>
      </c>
      <c r="J58" s="29">
        <v>2000</v>
      </c>
      <c r="K58" s="12">
        <f t="shared" si="1"/>
        <v>80</v>
      </c>
      <c r="L58" s="362">
        <v>25</v>
      </c>
      <c r="M58" s="13">
        <f t="shared" ref="M58:M63" si="39">F58/V58*60</f>
        <v>1917.3134328358208</v>
      </c>
      <c r="N58" s="13">
        <f t="shared" si="3"/>
        <v>76.692537313432837</v>
      </c>
      <c r="O58" s="14">
        <f t="shared" si="4"/>
        <v>0</v>
      </c>
      <c r="P58" s="15">
        <f t="shared" si="5"/>
        <v>-3.3074626865671632</v>
      </c>
      <c r="Q58" s="363">
        <f t="shared" si="6"/>
        <v>0.9586567164179105</v>
      </c>
      <c r="R58" s="616"/>
      <c r="S58" s="32">
        <v>0.30208333333333331</v>
      </c>
      <c r="T58" s="32">
        <v>0.34861111111111109</v>
      </c>
      <c r="U58" s="364">
        <f t="shared" si="38"/>
        <v>6.9999999999999751</v>
      </c>
      <c r="V58" s="365">
        <f t="shared" si="37"/>
        <v>67</v>
      </c>
      <c r="W58" s="16"/>
      <c r="X58" s="16"/>
      <c r="Y58" s="19"/>
      <c r="Z58" s="19"/>
      <c r="AA58" s="612"/>
      <c r="AB58" s="612"/>
      <c r="AC58" s="18"/>
      <c r="AD58" s="18"/>
      <c r="AE58" s="14">
        <f t="shared" si="8"/>
        <v>-82.686567164179223</v>
      </c>
      <c r="AF58" s="363">
        <f t="shared" si="9"/>
        <v>0.95865671641791039</v>
      </c>
      <c r="AG58" s="616"/>
    </row>
    <row r="59" spans="1:33" ht="15.75" customHeight="1">
      <c r="A59" s="621" t="s">
        <v>1938</v>
      </c>
      <c r="B59" s="27" t="s">
        <v>8</v>
      </c>
      <c r="C59" s="371" t="s">
        <v>61</v>
      </c>
      <c r="D59" s="372"/>
      <c r="E59" s="27">
        <v>46</v>
      </c>
      <c r="F59" s="30">
        <v>2441</v>
      </c>
      <c r="G59" s="364">
        <f t="shared" si="35"/>
        <v>112286</v>
      </c>
      <c r="H59" s="31" t="s">
        <v>40</v>
      </c>
      <c r="I59" s="362">
        <v>16</v>
      </c>
      <c r="J59" s="29">
        <v>2000</v>
      </c>
      <c r="K59" s="12">
        <f t="shared" si="1"/>
        <v>125</v>
      </c>
      <c r="L59" s="362">
        <v>16</v>
      </c>
      <c r="M59" s="13">
        <f t="shared" si="39"/>
        <v>1927.1052631578955</v>
      </c>
      <c r="N59" s="13">
        <f t="shared" si="3"/>
        <v>120.44407894736847</v>
      </c>
      <c r="O59" s="14">
        <f t="shared" si="4"/>
        <v>0</v>
      </c>
      <c r="P59" s="15">
        <f t="shared" si="5"/>
        <v>-4.5559210526315326</v>
      </c>
      <c r="Q59" s="363">
        <f t="shared" si="6"/>
        <v>0.96355263157894777</v>
      </c>
      <c r="R59" s="616"/>
      <c r="S59" s="32">
        <v>0.35416666666666663</v>
      </c>
      <c r="T59" s="32">
        <v>0.40694444444444439</v>
      </c>
      <c r="U59" s="364">
        <f t="shared" si="38"/>
        <v>7.9999999999999716</v>
      </c>
      <c r="V59" s="365">
        <f t="shared" si="37"/>
        <v>75.999999999999972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-72.894736842104521</v>
      </c>
      <c r="AF59" s="363">
        <f t="shared" si="9"/>
        <v>0.96355263157894777</v>
      </c>
      <c r="AG59" s="616"/>
    </row>
    <row r="60" spans="1:33" ht="15.75" customHeight="1">
      <c r="A60" s="621" t="s">
        <v>71</v>
      </c>
      <c r="B60" s="27" t="s">
        <v>8</v>
      </c>
      <c r="C60" s="371" t="s">
        <v>79</v>
      </c>
      <c r="D60" s="372"/>
      <c r="E60" s="27">
        <v>46</v>
      </c>
      <c r="F60" s="30">
        <v>2776</v>
      </c>
      <c r="G60" s="364">
        <f t="shared" si="35"/>
        <v>127696</v>
      </c>
      <c r="H60" s="31" t="s">
        <v>40</v>
      </c>
      <c r="I60" s="362">
        <v>17</v>
      </c>
      <c r="J60" s="29">
        <v>2000</v>
      </c>
      <c r="K60" s="12">
        <f t="shared" si="1"/>
        <v>117.64705882352941</v>
      </c>
      <c r="L60" s="362">
        <v>17</v>
      </c>
      <c r="M60" s="13">
        <f t="shared" si="39"/>
        <v>1914.4827586206893</v>
      </c>
      <c r="N60" s="13">
        <f t="shared" si="3"/>
        <v>112.61663286004055</v>
      </c>
      <c r="O60" s="14">
        <f t="shared" si="4"/>
        <v>0</v>
      </c>
      <c r="P60" s="15">
        <f t="shared" si="5"/>
        <v>-5.0304259634888524</v>
      </c>
      <c r="Q60" s="363">
        <f t="shared" si="6"/>
        <v>0.9572413793103447</v>
      </c>
      <c r="R60" s="616"/>
      <c r="S60" s="32">
        <v>0.41180555555555548</v>
      </c>
      <c r="T60" s="32">
        <v>0.47222222222222215</v>
      </c>
      <c r="U60" s="364">
        <f t="shared" si="38"/>
        <v>6.9999999999999751</v>
      </c>
      <c r="V60" s="365">
        <f t="shared" si="37"/>
        <v>87.000000000000014</v>
      </c>
      <c r="W60" s="16"/>
      <c r="X60" s="16"/>
      <c r="Y60" s="19"/>
      <c r="Z60" s="19"/>
      <c r="AA60" s="612"/>
      <c r="AB60" s="612"/>
      <c r="AC60" s="18"/>
      <c r="AD60" s="18"/>
      <c r="AE60" s="14">
        <f t="shared" si="8"/>
        <v>-85.51724137931069</v>
      </c>
      <c r="AF60" s="363">
        <f t="shared" si="9"/>
        <v>0.9572413793103447</v>
      </c>
      <c r="AG60" s="616"/>
    </row>
    <row r="61" spans="1:33" ht="15.75" customHeight="1">
      <c r="A61" s="621" t="s">
        <v>71</v>
      </c>
      <c r="B61" s="27" t="s">
        <v>5</v>
      </c>
      <c r="C61" s="605" t="s">
        <v>77</v>
      </c>
      <c r="D61" s="606"/>
      <c r="E61" s="27">
        <v>54.09</v>
      </c>
      <c r="F61" s="30">
        <v>1171</v>
      </c>
      <c r="G61" s="364">
        <f t="shared" si="35"/>
        <v>63339.390000000007</v>
      </c>
      <c r="H61" s="31" t="s">
        <v>40</v>
      </c>
      <c r="I61" s="362">
        <v>13</v>
      </c>
      <c r="J61" s="29">
        <v>2000</v>
      </c>
      <c r="K61" s="12">
        <f t="shared" si="1"/>
        <v>153.84615384615384</v>
      </c>
      <c r="L61" s="362">
        <v>13</v>
      </c>
      <c r="M61" s="13">
        <f t="shared" si="39"/>
        <v>1951.6666666666649</v>
      </c>
      <c r="N61" s="13">
        <f t="shared" si="3"/>
        <v>150.128205128205</v>
      </c>
      <c r="O61" s="14">
        <f t="shared" si="4"/>
        <v>0</v>
      </c>
      <c r="P61" s="15">
        <f t="shared" si="5"/>
        <v>-3.7179487179488433</v>
      </c>
      <c r="Q61" s="363">
        <f t="shared" si="6"/>
        <v>0.97583333333333255</v>
      </c>
      <c r="R61" s="616"/>
      <c r="S61" s="32">
        <v>0.70833333333333337</v>
      </c>
      <c r="T61" s="32">
        <v>0.73333333333333339</v>
      </c>
      <c r="U61" s="364" t="str">
        <f t="shared" si="38"/>
        <v/>
      </c>
      <c r="V61" s="365">
        <f t="shared" si="37"/>
        <v>36.000000000000028</v>
      </c>
      <c r="W61" s="16"/>
      <c r="X61" s="16"/>
      <c r="Y61" s="19"/>
      <c r="Z61" s="19"/>
      <c r="AA61" s="607"/>
      <c r="AB61" s="608"/>
      <c r="AC61" s="18"/>
      <c r="AD61" s="18"/>
      <c r="AE61" s="14">
        <f t="shared" si="8"/>
        <v>-48.333333333335077</v>
      </c>
      <c r="AF61" s="363">
        <f t="shared" si="9"/>
        <v>0.97583333333333244</v>
      </c>
      <c r="AG61" s="616"/>
    </row>
    <row r="62" spans="1:33" ht="15.75" customHeight="1">
      <c r="A62" s="621" t="s">
        <v>71</v>
      </c>
      <c r="B62" s="27" t="s">
        <v>5</v>
      </c>
      <c r="C62" s="605" t="s">
        <v>7</v>
      </c>
      <c r="D62" s="606"/>
      <c r="E62" s="27">
        <v>50.67</v>
      </c>
      <c r="F62" s="30">
        <v>1611</v>
      </c>
      <c r="G62" s="364">
        <f t="shared" si="35"/>
        <v>81629.37000000001</v>
      </c>
      <c r="H62" s="31" t="s">
        <v>40</v>
      </c>
      <c r="I62" s="362">
        <v>15</v>
      </c>
      <c r="J62" s="29">
        <v>2000</v>
      </c>
      <c r="K62" s="12">
        <f t="shared" si="1"/>
        <v>133.33333333333334</v>
      </c>
      <c r="L62" s="362">
        <v>15</v>
      </c>
      <c r="M62" s="13">
        <f t="shared" si="39"/>
        <v>1933.2000000000003</v>
      </c>
      <c r="N62" s="13">
        <f t="shared" si="3"/>
        <v>128.88000000000002</v>
      </c>
      <c r="O62" s="14">
        <f t="shared" si="4"/>
        <v>0</v>
      </c>
      <c r="P62" s="15">
        <f t="shared" si="5"/>
        <v>-4.4533333333333189</v>
      </c>
      <c r="Q62" s="363">
        <f t="shared" si="6"/>
        <v>0.96660000000000013</v>
      </c>
      <c r="R62" s="616"/>
      <c r="S62" s="32">
        <v>0.73888888888888893</v>
      </c>
      <c r="T62" s="32">
        <v>0.77361111111111114</v>
      </c>
      <c r="U62" s="364">
        <f t="shared" si="38"/>
        <v>7.9999999999999716</v>
      </c>
      <c r="V62" s="365">
        <f t="shared" si="37"/>
        <v>49.999999999999986</v>
      </c>
      <c r="W62" s="16"/>
      <c r="X62" s="16"/>
      <c r="Y62" s="19"/>
      <c r="Z62" s="19"/>
      <c r="AA62" s="607"/>
      <c r="AB62" s="608"/>
      <c r="AC62" s="18"/>
      <c r="AD62" s="18"/>
      <c r="AE62" s="14">
        <f t="shared" si="8"/>
        <v>-66.799999999999727</v>
      </c>
      <c r="AF62" s="363">
        <f t="shared" si="9"/>
        <v>0.96660000000000013</v>
      </c>
      <c r="AG62" s="616"/>
    </row>
    <row r="63" spans="1:33" ht="15.75" customHeight="1">
      <c r="A63" s="621" t="s">
        <v>1938</v>
      </c>
      <c r="B63" s="27" t="s">
        <v>5</v>
      </c>
      <c r="C63" s="605" t="s">
        <v>62</v>
      </c>
      <c r="D63" s="606"/>
      <c r="E63" s="27">
        <v>51.06</v>
      </c>
      <c r="F63" s="30">
        <v>3429</v>
      </c>
      <c r="G63" s="364">
        <f t="shared" si="35"/>
        <v>175084.74000000002</v>
      </c>
      <c r="H63" s="31" t="s">
        <v>40</v>
      </c>
      <c r="I63" s="362">
        <v>13</v>
      </c>
      <c r="J63" s="29">
        <v>2000</v>
      </c>
      <c r="K63" s="12">
        <f t="shared" si="1"/>
        <v>153.84615384615384</v>
      </c>
      <c r="L63" s="362">
        <v>13</v>
      </c>
      <c r="M63" s="13">
        <f t="shared" si="39"/>
        <v>1905.0000000000011</v>
      </c>
      <c r="N63" s="13">
        <f t="shared" si="3"/>
        <v>146.53846153846163</v>
      </c>
      <c r="O63" s="14">
        <f t="shared" si="4"/>
        <v>0</v>
      </c>
      <c r="P63" s="15">
        <f t="shared" si="5"/>
        <v>-7.3076923076922071</v>
      </c>
      <c r="Q63" s="363">
        <f t="shared" si="6"/>
        <v>0.95250000000000068</v>
      </c>
      <c r="R63" s="616"/>
      <c r="S63" s="32">
        <v>0.77916666666666667</v>
      </c>
      <c r="T63" s="32">
        <v>0.85416666666666663</v>
      </c>
      <c r="U63" s="364">
        <f t="shared" si="38"/>
        <v>7.9999999999999716</v>
      </c>
      <c r="V63" s="365">
        <f t="shared" si="37"/>
        <v>107.99999999999994</v>
      </c>
      <c r="W63" s="16"/>
      <c r="X63" s="16"/>
      <c r="Y63" s="19"/>
      <c r="Z63" s="19"/>
      <c r="AA63" s="607"/>
      <c r="AB63" s="608"/>
      <c r="AC63" s="18"/>
      <c r="AD63" s="18"/>
      <c r="AE63" s="14">
        <f t="shared" si="8"/>
        <v>-94.999999999998863</v>
      </c>
      <c r="AF63" s="363">
        <f t="shared" si="9"/>
        <v>0.95250000000000057</v>
      </c>
      <c r="AG63" s="616"/>
    </row>
    <row r="64" spans="1:33">
      <c r="A64" s="622" t="s">
        <v>71</v>
      </c>
      <c r="B64" s="27" t="s">
        <v>1924</v>
      </c>
      <c r="C64" s="658"/>
      <c r="D64" s="658"/>
      <c r="E64" s="368"/>
      <c r="F64" s="28"/>
      <c r="G64" s="12"/>
      <c r="H64" s="367"/>
      <c r="I64" s="21">
        <v>17.5</v>
      </c>
      <c r="J64" s="29">
        <v>2000</v>
      </c>
      <c r="K64" s="12">
        <f t="shared" si="1"/>
        <v>114.28571428571429</v>
      </c>
      <c r="L64" s="21">
        <v>17.5</v>
      </c>
      <c r="M64" s="13">
        <f>AVERAGE(M56:M63)</f>
        <v>1923.4735489439179</v>
      </c>
      <c r="N64" s="12">
        <f t="shared" si="3"/>
        <v>109.91277422536673</v>
      </c>
      <c r="O64" s="14">
        <f t="shared" si="4"/>
        <v>0</v>
      </c>
      <c r="P64" s="15">
        <f t="shared" si="5"/>
        <v>-4.3729400603475597</v>
      </c>
      <c r="Q64" s="363">
        <f t="shared" si="6"/>
        <v>0.96173677447195882</v>
      </c>
      <c r="R64" s="616"/>
      <c r="S64" s="32"/>
      <c r="T64" s="32"/>
      <c r="U64" s="364"/>
      <c r="V64" s="365"/>
      <c r="W64" s="12"/>
      <c r="X64" s="12"/>
      <c r="Y64" s="22">
        <f>SUM(Y56:Y63)</f>
        <v>0</v>
      </c>
      <c r="Z64" s="22">
        <f>SUM(Z56:Z63)</f>
        <v>0</v>
      </c>
      <c r="AA64" s="611"/>
      <c r="AB64" s="611"/>
      <c r="AC64" s="22">
        <v>8</v>
      </c>
      <c r="AD64" s="22">
        <f>SUM(AD56:AD63)</f>
        <v>0</v>
      </c>
      <c r="AE64" s="14">
        <f>M64-J64</f>
        <v>-76.526451056082124</v>
      </c>
      <c r="AF64" s="363">
        <f t="shared" si="9"/>
        <v>0.96173677447195893</v>
      </c>
      <c r="AG64" s="616"/>
    </row>
    <row r="65" spans="1:33" ht="15.75" customHeight="1">
      <c r="A65" s="617" t="s">
        <v>1939</v>
      </c>
      <c r="B65" s="367" t="s">
        <v>27</v>
      </c>
      <c r="C65" s="660" t="s">
        <v>28</v>
      </c>
      <c r="D65" s="660"/>
      <c r="E65" s="27">
        <v>35.119999999999997</v>
      </c>
      <c r="F65" s="30">
        <v>5437</v>
      </c>
      <c r="G65" s="364">
        <f t="shared" ref="G65:G68" si="40">E65*F65</f>
        <v>190947.43999999997</v>
      </c>
      <c r="H65" s="31" t="s">
        <v>40</v>
      </c>
      <c r="I65" s="362">
        <v>10</v>
      </c>
      <c r="J65" s="29">
        <v>3000</v>
      </c>
      <c r="K65" s="12">
        <f t="shared" si="1"/>
        <v>300</v>
      </c>
      <c r="L65" s="362">
        <v>10</v>
      </c>
      <c r="M65" s="13">
        <f t="shared" ref="M65:M68" si="41">F65/V65*60</f>
        <v>2861.5789473684222</v>
      </c>
      <c r="N65" s="12">
        <f t="shared" si="3"/>
        <v>286.1578947368422</v>
      </c>
      <c r="O65" s="14">
        <f t="shared" si="4"/>
        <v>0</v>
      </c>
      <c r="P65" s="15">
        <f t="shared" si="5"/>
        <v>-13.842105263157805</v>
      </c>
      <c r="Q65" s="363">
        <f t="shared" si="6"/>
        <v>0.9538596491228073</v>
      </c>
      <c r="R65" s="616">
        <f>Q69</f>
        <v>0.9632400453942922</v>
      </c>
      <c r="S65" s="32">
        <v>0.20833333333333334</v>
      </c>
      <c r="T65" s="32">
        <v>0.28749999999999998</v>
      </c>
      <c r="U65" s="364"/>
      <c r="V65" s="365">
        <f t="shared" ref="V65:V68" si="42">(T65-S65)*24*60</f>
        <v>113.99999999999996</v>
      </c>
      <c r="W65" s="16"/>
      <c r="X65" s="16"/>
      <c r="Y65" s="20"/>
      <c r="Z65" s="20"/>
      <c r="AA65" s="612"/>
      <c r="AB65" s="612"/>
      <c r="AC65" s="18">
        <v>4</v>
      </c>
      <c r="AD65" s="18"/>
      <c r="AE65" s="14">
        <f t="shared" ref="AE65:AE78" si="43">M65-J65</f>
        <v>-138.42105263157782</v>
      </c>
      <c r="AF65" s="363">
        <f t="shared" si="9"/>
        <v>0.95385964912280741</v>
      </c>
      <c r="AG65" s="616">
        <f>AF69</f>
        <v>0.9632400453942922</v>
      </c>
    </row>
    <row r="66" spans="1:33" ht="15.75" customHeight="1">
      <c r="A66" s="617" t="s">
        <v>1939</v>
      </c>
      <c r="B66" s="367" t="s">
        <v>27</v>
      </c>
      <c r="C66" s="660" t="s">
        <v>34</v>
      </c>
      <c r="D66" s="660"/>
      <c r="E66" s="27">
        <v>26.78</v>
      </c>
      <c r="F66" s="30">
        <v>3081</v>
      </c>
      <c r="G66" s="364">
        <f t="shared" si="40"/>
        <v>82509.180000000008</v>
      </c>
      <c r="H66" s="31" t="s">
        <v>40</v>
      </c>
      <c r="I66" s="362">
        <v>10</v>
      </c>
      <c r="J66" s="29">
        <v>3000</v>
      </c>
      <c r="K66" s="12">
        <f t="shared" si="1"/>
        <v>300</v>
      </c>
      <c r="L66" s="362">
        <v>10</v>
      </c>
      <c r="M66" s="13">
        <f t="shared" si="41"/>
        <v>2888.4374999999991</v>
      </c>
      <c r="N66" s="12">
        <f t="shared" si="3"/>
        <v>288.84374999999989</v>
      </c>
      <c r="O66" s="14">
        <f t="shared" si="4"/>
        <v>0</v>
      </c>
      <c r="P66" s="15">
        <f t="shared" si="5"/>
        <v>-11.156250000000114</v>
      </c>
      <c r="Q66" s="363">
        <f t="shared" si="6"/>
        <v>0.96281249999999963</v>
      </c>
      <c r="R66" s="616"/>
      <c r="S66" s="32">
        <v>0.29305555555555551</v>
      </c>
      <c r="T66" s="32">
        <v>0.33749999999999997</v>
      </c>
      <c r="U66" s="364">
        <f t="shared" ref="U66:U68" si="44">(S66-T65)*24*60</f>
        <v>7.9999999999999716</v>
      </c>
      <c r="V66" s="365">
        <f t="shared" si="42"/>
        <v>64.000000000000014</v>
      </c>
      <c r="W66" s="364"/>
      <c r="X66" s="364"/>
      <c r="Y66" s="364"/>
      <c r="Z66" s="364"/>
      <c r="AA66" s="612"/>
      <c r="AB66" s="612"/>
      <c r="AC66" s="18"/>
      <c r="AD66" s="18"/>
      <c r="AE66" s="14">
        <f t="shared" si="43"/>
        <v>-111.56250000000091</v>
      </c>
      <c r="AF66" s="363">
        <f t="shared" si="9"/>
        <v>0.96281249999999974</v>
      </c>
      <c r="AG66" s="616"/>
    </row>
    <row r="67" spans="1:33" ht="15.75" customHeight="1">
      <c r="A67" s="617" t="s">
        <v>72</v>
      </c>
      <c r="B67" s="367" t="s">
        <v>27</v>
      </c>
      <c r="C67" s="660" t="s">
        <v>36</v>
      </c>
      <c r="D67" s="660"/>
      <c r="E67" s="27">
        <v>34.35</v>
      </c>
      <c r="F67" s="30">
        <v>1425</v>
      </c>
      <c r="G67" s="364">
        <f t="shared" si="40"/>
        <v>48948.75</v>
      </c>
      <c r="H67" s="31" t="s">
        <v>40</v>
      </c>
      <c r="I67" s="362">
        <v>8</v>
      </c>
      <c r="J67" s="29">
        <v>3000</v>
      </c>
      <c r="K67" s="12">
        <f t="shared" si="1"/>
        <v>375</v>
      </c>
      <c r="L67" s="362">
        <v>8</v>
      </c>
      <c r="M67" s="13">
        <f t="shared" si="41"/>
        <v>2948.2758620689679</v>
      </c>
      <c r="N67" s="12">
        <f t="shared" si="3"/>
        <v>368.53448275862098</v>
      </c>
      <c r="O67" s="14">
        <f t="shared" si="4"/>
        <v>0</v>
      </c>
      <c r="P67" s="15">
        <f t="shared" si="5"/>
        <v>-6.4655172413790183</v>
      </c>
      <c r="Q67" s="363">
        <f t="shared" si="6"/>
        <v>0.98275862068965592</v>
      </c>
      <c r="R67" s="616"/>
      <c r="S67" s="32">
        <v>0.3430555555555555</v>
      </c>
      <c r="T67" s="32">
        <v>0.36319444444444438</v>
      </c>
      <c r="U67" s="364">
        <f t="shared" si="44"/>
        <v>7.9999999999999716</v>
      </c>
      <c r="V67" s="365">
        <f t="shared" si="42"/>
        <v>28.999999999999979</v>
      </c>
      <c r="W67" s="364"/>
      <c r="X67" s="364"/>
      <c r="Y67" s="364"/>
      <c r="Z67" s="364"/>
      <c r="AA67" s="612"/>
      <c r="AB67" s="612"/>
      <c r="AC67" s="18"/>
      <c r="AD67" s="18"/>
      <c r="AE67" s="14">
        <f t="shared" si="43"/>
        <v>-51.724137931032146</v>
      </c>
      <c r="AF67" s="363">
        <f t="shared" si="9"/>
        <v>0.98275862068965592</v>
      </c>
      <c r="AG67" s="616"/>
    </row>
    <row r="68" spans="1:33" ht="15.75" customHeight="1">
      <c r="A68" s="617" t="s">
        <v>1939</v>
      </c>
      <c r="B68" s="367" t="s">
        <v>27</v>
      </c>
      <c r="C68" s="660" t="s">
        <v>737</v>
      </c>
      <c r="D68" s="660"/>
      <c r="E68" s="27">
        <v>36.14</v>
      </c>
      <c r="F68" s="30">
        <v>3242</v>
      </c>
      <c r="G68" s="364">
        <f t="shared" si="40"/>
        <v>117165.88</v>
      </c>
      <c r="H68" s="31" t="s">
        <v>40</v>
      </c>
      <c r="I68" s="362">
        <v>11</v>
      </c>
      <c r="J68" s="29">
        <v>3000</v>
      </c>
      <c r="K68" s="12">
        <f t="shared" si="1"/>
        <v>272.72727272727275</v>
      </c>
      <c r="L68" s="362">
        <v>11</v>
      </c>
      <c r="M68" s="13">
        <f t="shared" si="41"/>
        <v>2860.588235294118</v>
      </c>
      <c r="N68" s="12">
        <f t="shared" si="3"/>
        <v>260.05347593582889</v>
      </c>
      <c r="O68" s="14">
        <f t="shared" si="4"/>
        <v>0</v>
      </c>
      <c r="P68" s="15">
        <f t="shared" si="5"/>
        <v>-12.673796791443863</v>
      </c>
      <c r="Q68" s="363">
        <f t="shared" si="6"/>
        <v>0.95352941176470585</v>
      </c>
      <c r="R68" s="616"/>
      <c r="S68" s="32">
        <v>0.36736111111111103</v>
      </c>
      <c r="T68" s="32">
        <v>0.41458333333333325</v>
      </c>
      <c r="U68" s="364">
        <f t="shared" si="44"/>
        <v>5.9999999999999787</v>
      </c>
      <c r="V68" s="365">
        <f t="shared" si="42"/>
        <v>68</v>
      </c>
      <c r="W68" s="364"/>
      <c r="X68" s="364"/>
      <c r="Y68" s="364"/>
      <c r="Z68" s="364"/>
      <c r="AA68" s="612"/>
      <c r="AB68" s="612"/>
      <c r="AC68" s="18"/>
      <c r="AD68" s="18"/>
      <c r="AE68" s="14">
        <f t="shared" si="43"/>
        <v>-139.41176470588198</v>
      </c>
      <c r="AF68" s="363">
        <f t="shared" si="9"/>
        <v>0.95352941176470596</v>
      </c>
      <c r="AG68" s="616"/>
    </row>
    <row r="69" spans="1:33">
      <c r="A69" s="618" t="s">
        <v>1939</v>
      </c>
      <c r="B69" s="27" t="s">
        <v>1222</v>
      </c>
      <c r="C69" s="658"/>
      <c r="D69" s="658"/>
      <c r="E69" s="368"/>
      <c r="F69" s="28"/>
      <c r="G69" s="12"/>
      <c r="H69" s="367"/>
      <c r="I69" s="21">
        <v>9.75</v>
      </c>
      <c r="J69" s="29">
        <v>3000</v>
      </c>
      <c r="K69" s="12">
        <f t="shared" ref="K69:K78" si="45">J69/I69</f>
        <v>307.69230769230768</v>
      </c>
      <c r="L69" s="21">
        <v>9.75</v>
      </c>
      <c r="M69" s="13">
        <f>AVERAGE(M65:M68)</f>
        <v>2889.7201361828766</v>
      </c>
      <c r="N69" s="12">
        <f t="shared" ref="N69:N78" si="46">M69/L69</f>
        <v>296.38155242901297</v>
      </c>
      <c r="O69" s="14">
        <f t="shared" ref="O69:O78" si="47">L69-I69</f>
        <v>0</v>
      </c>
      <c r="P69" s="15">
        <f t="shared" ref="P69:P78" si="48">N69-K69</f>
        <v>-11.310755263294709</v>
      </c>
      <c r="Q69" s="363">
        <f t="shared" ref="Q69:Q78" si="49">N69/K69</f>
        <v>0.9632400453942922</v>
      </c>
      <c r="R69" s="616"/>
      <c r="S69" s="32"/>
      <c r="T69" s="32"/>
      <c r="U69" s="12"/>
      <c r="V69" s="365"/>
      <c r="W69" s="12"/>
      <c r="X69" s="12"/>
      <c r="Y69" s="22">
        <f>SUM(Y65:Y68)</f>
        <v>0</v>
      </c>
      <c r="Z69" s="22">
        <f>SUM(Z65:Z68)</f>
        <v>0</v>
      </c>
      <c r="AA69" s="611"/>
      <c r="AB69" s="611"/>
      <c r="AC69" s="22">
        <v>4</v>
      </c>
      <c r="AD69" s="22">
        <f>SUM(AD65:AD68)</f>
        <v>0</v>
      </c>
      <c r="AE69" s="14">
        <f t="shared" si="43"/>
        <v>-110.27986381712344</v>
      </c>
      <c r="AF69" s="363">
        <f t="shared" ref="AF69:AF78" si="50">M69/J69</f>
        <v>0.9632400453942922</v>
      </c>
      <c r="AG69" s="616"/>
    </row>
    <row r="70" spans="1:33" ht="15.75" customHeight="1">
      <c r="A70" s="613" t="s">
        <v>73</v>
      </c>
      <c r="B70" s="367" t="s">
        <v>20</v>
      </c>
      <c r="C70" s="660" t="s">
        <v>39</v>
      </c>
      <c r="D70" s="660"/>
      <c r="E70" s="27">
        <v>19.02</v>
      </c>
      <c r="F70" s="367">
        <v>5600</v>
      </c>
      <c r="G70" s="364">
        <f t="shared" ref="G70:G77" si="51">E70*F70</f>
        <v>106512</v>
      </c>
      <c r="H70" s="31">
        <v>2</v>
      </c>
      <c r="I70" s="362">
        <v>14</v>
      </c>
      <c r="J70" s="29">
        <v>2400</v>
      </c>
      <c r="K70" s="12">
        <f t="shared" si="45"/>
        <v>171.42857142857142</v>
      </c>
      <c r="L70" s="362">
        <v>14</v>
      </c>
      <c r="M70" s="13">
        <f t="shared" ref="M70:M77" si="52">F70/V70*60</f>
        <v>2285.7142857142858</v>
      </c>
      <c r="N70" s="12">
        <f t="shared" si="46"/>
        <v>163.26530612244898</v>
      </c>
      <c r="O70" s="14">
        <f t="shared" si="47"/>
        <v>0</v>
      </c>
      <c r="P70" s="15">
        <f t="shared" si="48"/>
        <v>-8.1632653061224403</v>
      </c>
      <c r="Q70" s="363">
        <f t="shared" si="49"/>
        <v>0.95238095238095244</v>
      </c>
      <c r="R70" s="616">
        <f>Q78</f>
        <v>0.95828433823536685</v>
      </c>
      <c r="S70" s="32">
        <v>8.3333333333333329E-2</v>
      </c>
      <c r="T70" s="32">
        <v>0.18541666666666667</v>
      </c>
      <c r="U70" s="20"/>
      <c r="V70" s="365">
        <f t="shared" ref="V70:V77" si="53">(T70-S70)*24*60</f>
        <v>147</v>
      </c>
      <c r="W70" s="16">
        <f>T70</f>
        <v>0.18541666666666667</v>
      </c>
      <c r="X70" s="16">
        <f>S71</f>
        <v>0.20416666666666666</v>
      </c>
      <c r="Y70" s="16"/>
      <c r="Z70" s="16"/>
      <c r="AA70" s="612"/>
      <c r="AB70" s="612"/>
      <c r="AC70" s="18">
        <v>8</v>
      </c>
      <c r="AD70" s="18"/>
      <c r="AE70" s="14">
        <f t="shared" si="43"/>
        <v>-114.28571428571422</v>
      </c>
      <c r="AF70" s="363">
        <f t="shared" si="50"/>
        <v>0.95238095238095244</v>
      </c>
      <c r="AG70" s="616">
        <f>AF78</f>
        <v>0.95828433823536685</v>
      </c>
    </row>
    <row r="71" spans="1:33" ht="15.75" customHeight="1">
      <c r="A71" s="614" t="s">
        <v>73</v>
      </c>
      <c r="B71" s="367" t="s">
        <v>20</v>
      </c>
      <c r="C71" s="660" t="s">
        <v>24</v>
      </c>
      <c r="D71" s="660"/>
      <c r="E71" s="27">
        <v>20.36</v>
      </c>
      <c r="F71" s="367">
        <v>4711</v>
      </c>
      <c r="G71" s="364">
        <f t="shared" si="51"/>
        <v>95915.959999999992</v>
      </c>
      <c r="H71" s="31" t="s">
        <v>40</v>
      </c>
      <c r="I71" s="362">
        <v>17</v>
      </c>
      <c r="J71" s="29">
        <v>2400</v>
      </c>
      <c r="K71" s="12">
        <f t="shared" si="45"/>
        <v>141.1764705882353</v>
      </c>
      <c r="L71" s="362">
        <v>17</v>
      </c>
      <c r="M71" s="13">
        <f t="shared" si="52"/>
        <v>2298.0487804878057</v>
      </c>
      <c r="N71" s="12">
        <f t="shared" si="46"/>
        <v>135.17934002869447</v>
      </c>
      <c r="O71" s="14">
        <f t="shared" si="47"/>
        <v>0</v>
      </c>
      <c r="P71" s="15">
        <f t="shared" si="48"/>
        <v>-5.9971305595408353</v>
      </c>
      <c r="Q71" s="363">
        <f t="shared" si="49"/>
        <v>0.95752032520325236</v>
      </c>
      <c r="R71" s="616"/>
      <c r="S71" s="32">
        <v>0.20416666666666666</v>
      </c>
      <c r="T71" s="32">
        <v>0.2895833333333333</v>
      </c>
      <c r="U71" s="364">
        <f t="shared" ref="U71:U77" si="54">(S71-T70)*24*60</f>
        <v>26.999999999999986</v>
      </c>
      <c r="V71" s="365">
        <f t="shared" si="53"/>
        <v>122.99999999999996</v>
      </c>
      <c r="W71" s="16"/>
      <c r="X71" s="16"/>
      <c r="Y71" s="16"/>
      <c r="Z71" s="16"/>
      <c r="AA71" s="612"/>
      <c r="AB71" s="612"/>
      <c r="AC71" s="18"/>
      <c r="AD71" s="18"/>
      <c r="AE71" s="14">
        <f t="shared" si="43"/>
        <v>-101.95121951219426</v>
      </c>
      <c r="AF71" s="363">
        <f t="shared" si="50"/>
        <v>0.95752032520325236</v>
      </c>
      <c r="AG71" s="616"/>
    </row>
    <row r="72" spans="1:33" ht="15.75" customHeight="1">
      <c r="A72" s="614" t="s">
        <v>73</v>
      </c>
      <c r="B72" s="367" t="s">
        <v>20</v>
      </c>
      <c r="C72" s="660" t="s">
        <v>80</v>
      </c>
      <c r="D72" s="660"/>
      <c r="E72" s="27">
        <v>25.98</v>
      </c>
      <c r="F72" s="367">
        <v>3733</v>
      </c>
      <c r="G72" s="364">
        <f t="shared" si="51"/>
        <v>96983.34</v>
      </c>
      <c r="H72" s="31" t="s">
        <v>40</v>
      </c>
      <c r="I72" s="362">
        <v>17</v>
      </c>
      <c r="J72" s="29">
        <v>2400</v>
      </c>
      <c r="K72" s="12">
        <f t="shared" si="45"/>
        <v>141.1764705882353</v>
      </c>
      <c r="L72" s="362">
        <v>17</v>
      </c>
      <c r="M72" s="13">
        <f t="shared" si="52"/>
        <v>2285.5102040816332</v>
      </c>
      <c r="N72" s="12">
        <f t="shared" si="46"/>
        <v>134.44177671068431</v>
      </c>
      <c r="O72" s="14">
        <f t="shared" si="47"/>
        <v>0</v>
      </c>
      <c r="P72" s="15">
        <f t="shared" si="48"/>
        <v>-6.7346938775509955</v>
      </c>
      <c r="Q72" s="363">
        <f t="shared" si="49"/>
        <v>0.95229591836734717</v>
      </c>
      <c r="R72" s="616"/>
      <c r="S72" s="32">
        <v>0.29305555555555551</v>
      </c>
      <c r="T72" s="32">
        <v>0.36111111111111105</v>
      </c>
      <c r="U72" s="364">
        <f t="shared" si="54"/>
        <v>4.9999999999999822</v>
      </c>
      <c r="V72" s="365">
        <f t="shared" si="53"/>
        <v>97.999999999999972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-114.48979591836678</v>
      </c>
      <c r="AF72" s="363">
        <f t="shared" si="50"/>
        <v>0.95229591836734717</v>
      </c>
      <c r="AG72" s="616"/>
    </row>
    <row r="73" spans="1:33" ht="15.75" customHeight="1">
      <c r="A73" s="614" t="s">
        <v>1940</v>
      </c>
      <c r="B73" s="367" t="s">
        <v>20</v>
      </c>
      <c r="C73" s="660" t="s">
        <v>739</v>
      </c>
      <c r="D73" s="660"/>
      <c r="E73" s="27">
        <v>28.29</v>
      </c>
      <c r="F73" s="367">
        <v>3500</v>
      </c>
      <c r="G73" s="364">
        <f t="shared" si="51"/>
        <v>99015</v>
      </c>
      <c r="H73" s="31">
        <v>2</v>
      </c>
      <c r="I73" s="362">
        <v>21</v>
      </c>
      <c r="J73" s="29">
        <v>2400</v>
      </c>
      <c r="K73" s="12">
        <f t="shared" si="45"/>
        <v>114.28571428571429</v>
      </c>
      <c r="L73" s="362">
        <v>21</v>
      </c>
      <c r="M73" s="13">
        <f t="shared" si="52"/>
        <v>2307.6923076923076</v>
      </c>
      <c r="N73" s="12">
        <f t="shared" si="46"/>
        <v>109.89010989010988</v>
      </c>
      <c r="O73" s="14">
        <f t="shared" si="47"/>
        <v>0</v>
      </c>
      <c r="P73" s="15">
        <f t="shared" si="48"/>
        <v>-4.3956043956044084</v>
      </c>
      <c r="Q73" s="363">
        <f t="shared" si="49"/>
        <v>0.96153846153846145</v>
      </c>
      <c r="R73" s="616"/>
      <c r="S73" s="32">
        <v>0.3652777777777777</v>
      </c>
      <c r="T73" s="32">
        <v>0.42847222222222214</v>
      </c>
      <c r="U73" s="364">
        <f t="shared" si="54"/>
        <v>5.9999999999999787</v>
      </c>
      <c r="V73" s="365">
        <f t="shared" si="53"/>
        <v>91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-92.307692307692378</v>
      </c>
      <c r="AF73" s="363">
        <f t="shared" si="50"/>
        <v>0.96153846153846156</v>
      </c>
      <c r="AG73" s="616"/>
    </row>
    <row r="74" spans="1:33" ht="15.75" customHeight="1">
      <c r="A74" s="614" t="s">
        <v>73</v>
      </c>
      <c r="B74" s="367" t="s">
        <v>20</v>
      </c>
      <c r="C74" s="660" t="s">
        <v>1420</v>
      </c>
      <c r="D74" s="660"/>
      <c r="E74" s="27">
        <v>24.25</v>
      </c>
      <c r="F74" s="367">
        <v>3500</v>
      </c>
      <c r="G74" s="364">
        <f t="shared" si="51"/>
        <v>84875</v>
      </c>
      <c r="H74" s="31">
        <v>2</v>
      </c>
      <c r="I74" s="362">
        <v>17</v>
      </c>
      <c r="J74" s="29">
        <v>2400</v>
      </c>
      <c r="K74" s="12">
        <f t="shared" si="45"/>
        <v>141.1764705882353</v>
      </c>
      <c r="L74" s="362">
        <v>17</v>
      </c>
      <c r="M74" s="13">
        <f t="shared" si="52"/>
        <v>2307.6923076923076</v>
      </c>
      <c r="N74" s="12">
        <f t="shared" si="46"/>
        <v>135.74660633484163</v>
      </c>
      <c r="O74" s="14">
        <f t="shared" si="47"/>
        <v>0</v>
      </c>
      <c r="P74" s="15">
        <f t="shared" si="48"/>
        <v>-5.4298642533936743</v>
      </c>
      <c r="Q74" s="363">
        <f t="shared" si="49"/>
        <v>0.96153846153846145</v>
      </c>
      <c r="R74" s="616"/>
      <c r="S74" s="32">
        <v>0.43194444444444435</v>
      </c>
      <c r="T74" s="32">
        <v>0.4951388888888888</v>
      </c>
      <c r="U74" s="364">
        <f t="shared" si="54"/>
        <v>4.9999999999999822</v>
      </c>
      <c r="V74" s="365">
        <f t="shared" si="53"/>
        <v>91</v>
      </c>
      <c r="W74" s="16">
        <f>T74</f>
        <v>0.4951388888888888</v>
      </c>
      <c r="X74" s="16">
        <f>S75</f>
        <v>0.53541666666666654</v>
      </c>
      <c r="Y74" s="16"/>
      <c r="Z74" s="16"/>
      <c r="AA74" s="612"/>
      <c r="AB74" s="612"/>
      <c r="AC74" s="18"/>
      <c r="AD74" s="18"/>
      <c r="AE74" s="14">
        <f t="shared" si="43"/>
        <v>-92.307692307692378</v>
      </c>
      <c r="AF74" s="363">
        <f t="shared" si="50"/>
        <v>0.96153846153846156</v>
      </c>
      <c r="AG74" s="616"/>
    </row>
    <row r="75" spans="1:33" ht="15.75" customHeight="1">
      <c r="A75" s="614" t="s">
        <v>1941</v>
      </c>
      <c r="B75" s="367" t="s">
        <v>20</v>
      </c>
      <c r="C75" s="660" t="s">
        <v>39</v>
      </c>
      <c r="D75" s="660"/>
      <c r="E75" s="27">
        <v>19.02</v>
      </c>
      <c r="F75" s="367">
        <v>4715</v>
      </c>
      <c r="G75" s="364">
        <f t="shared" si="51"/>
        <v>89679.3</v>
      </c>
      <c r="H75" s="31" t="s">
        <v>40</v>
      </c>
      <c r="I75" s="362">
        <v>14</v>
      </c>
      <c r="J75" s="29">
        <v>2400</v>
      </c>
      <c r="K75" s="12">
        <f t="shared" si="45"/>
        <v>171.42857142857142</v>
      </c>
      <c r="L75" s="362">
        <v>14</v>
      </c>
      <c r="M75" s="13">
        <f t="shared" si="52"/>
        <v>2299.9999999999991</v>
      </c>
      <c r="N75" s="12">
        <f t="shared" si="46"/>
        <v>164.28571428571422</v>
      </c>
      <c r="O75" s="14">
        <f t="shared" si="47"/>
        <v>0</v>
      </c>
      <c r="P75" s="15">
        <f t="shared" si="48"/>
        <v>-7.1428571428571956</v>
      </c>
      <c r="Q75" s="363">
        <f t="shared" si="49"/>
        <v>0.95833333333333304</v>
      </c>
      <c r="R75" s="616"/>
      <c r="S75" s="32">
        <v>0.53541666666666654</v>
      </c>
      <c r="T75" s="32">
        <v>0.62083333333333324</v>
      </c>
      <c r="U75" s="364">
        <f t="shared" si="54"/>
        <v>57.999999999999957</v>
      </c>
      <c r="V75" s="365">
        <f t="shared" si="53"/>
        <v>123.00000000000004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-100.00000000000091</v>
      </c>
      <c r="AF75" s="363">
        <f t="shared" si="50"/>
        <v>0.95833333333333293</v>
      </c>
      <c r="AG75" s="616"/>
    </row>
    <row r="76" spans="1:33" ht="15.75" customHeight="1">
      <c r="A76" s="614" t="s">
        <v>1941</v>
      </c>
      <c r="B76" s="367" t="s">
        <v>20</v>
      </c>
      <c r="C76" s="605" t="s">
        <v>739</v>
      </c>
      <c r="D76" s="606"/>
      <c r="E76" s="27">
        <v>28.29</v>
      </c>
      <c r="F76" s="367">
        <v>2718</v>
      </c>
      <c r="G76" s="364">
        <f t="shared" si="51"/>
        <v>76892.22</v>
      </c>
      <c r="H76" s="31" t="s">
        <v>40</v>
      </c>
      <c r="I76" s="362">
        <v>21</v>
      </c>
      <c r="J76" s="29">
        <v>2400</v>
      </c>
      <c r="K76" s="12">
        <f t="shared" si="45"/>
        <v>114.28571428571429</v>
      </c>
      <c r="L76" s="362">
        <v>21</v>
      </c>
      <c r="M76" s="13">
        <f t="shared" si="52"/>
        <v>2296.9014084507016</v>
      </c>
      <c r="N76" s="12">
        <f t="shared" si="46"/>
        <v>109.3762575452715</v>
      </c>
      <c r="O76" s="14">
        <f t="shared" si="47"/>
        <v>0</v>
      </c>
      <c r="P76" s="15">
        <f t="shared" si="48"/>
        <v>-4.909456740442792</v>
      </c>
      <c r="Q76" s="363">
        <f t="shared" si="49"/>
        <v>0.9570422535211256</v>
      </c>
      <c r="R76" s="616"/>
      <c r="S76" s="32">
        <v>0.62569444444444433</v>
      </c>
      <c r="T76" s="32">
        <v>0.67499999999999993</v>
      </c>
      <c r="U76" s="364">
        <f t="shared" si="54"/>
        <v>6.9999999999999751</v>
      </c>
      <c r="V76" s="365">
        <f t="shared" si="53"/>
        <v>71.000000000000071</v>
      </c>
      <c r="W76" s="16"/>
      <c r="X76" s="16"/>
      <c r="Y76" s="19"/>
      <c r="Z76" s="19"/>
      <c r="AA76" s="607"/>
      <c r="AB76" s="608"/>
      <c r="AC76" s="18"/>
      <c r="AD76" s="18"/>
      <c r="AE76" s="14">
        <f t="shared" si="43"/>
        <v>-103.09859154929836</v>
      </c>
      <c r="AF76" s="363">
        <f t="shared" si="50"/>
        <v>0.95704225352112571</v>
      </c>
      <c r="AG76" s="616"/>
    </row>
    <row r="77" spans="1:33" ht="15.75" customHeight="1">
      <c r="A77" s="614" t="s">
        <v>1941</v>
      </c>
      <c r="B77" s="367" t="s">
        <v>20</v>
      </c>
      <c r="C77" s="605" t="s">
        <v>1420</v>
      </c>
      <c r="D77" s="606"/>
      <c r="E77" s="27">
        <v>24.25</v>
      </c>
      <c r="F77" s="367">
        <v>2472</v>
      </c>
      <c r="G77" s="364">
        <f t="shared" si="51"/>
        <v>59946</v>
      </c>
      <c r="H77" s="31" t="s">
        <v>40</v>
      </c>
      <c r="I77" s="362">
        <v>17</v>
      </c>
      <c r="J77" s="29">
        <v>2400</v>
      </c>
      <c r="K77" s="12">
        <f t="shared" si="45"/>
        <v>141.1764705882353</v>
      </c>
      <c r="L77" s="362">
        <v>17</v>
      </c>
      <c r="M77" s="13">
        <f t="shared" si="52"/>
        <v>2317.5000000000027</v>
      </c>
      <c r="N77" s="12">
        <f t="shared" si="46"/>
        <v>136.32352941176487</v>
      </c>
      <c r="O77" s="14">
        <f t="shared" si="47"/>
        <v>0</v>
      </c>
      <c r="P77" s="15">
        <f t="shared" si="48"/>
        <v>-4.8529411764704378</v>
      </c>
      <c r="Q77" s="363">
        <f t="shared" si="49"/>
        <v>0.96562500000000107</v>
      </c>
      <c r="R77" s="616"/>
      <c r="S77" s="32">
        <v>0.68055555555555547</v>
      </c>
      <c r="T77" s="32">
        <v>0.72499999999999987</v>
      </c>
      <c r="U77" s="364">
        <f t="shared" si="54"/>
        <v>7.9999999999999716</v>
      </c>
      <c r="V77" s="365">
        <f t="shared" si="53"/>
        <v>63.999999999999929</v>
      </c>
      <c r="W77" s="16"/>
      <c r="X77" s="16"/>
      <c r="Y77" s="19"/>
      <c r="Z77" s="19"/>
      <c r="AA77" s="607"/>
      <c r="AB77" s="608"/>
      <c r="AC77" s="18"/>
      <c r="AD77" s="18"/>
      <c r="AE77" s="14">
        <f t="shared" si="43"/>
        <v>-82.499999999997272</v>
      </c>
      <c r="AF77" s="363">
        <f t="shared" si="50"/>
        <v>0.96562500000000118</v>
      </c>
      <c r="AG77" s="616"/>
    </row>
    <row r="78" spans="1:33" ht="16.5" customHeight="1">
      <c r="A78" s="615" t="s">
        <v>1941</v>
      </c>
      <c r="B78" s="27" t="s">
        <v>1222</v>
      </c>
      <c r="C78" s="609"/>
      <c r="D78" s="610"/>
      <c r="E78" s="368"/>
      <c r="F78" s="28"/>
      <c r="G78" s="12"/>
      <c r="H78" s="367"/>
      <c r="I78" s="21">
        <v>17.25</v>
      </c>
      <c r="J78" s="29">
        <v>2400</v>
      </c>
      <c r="K78" s="12">
        <f t="shared" si="45"/>
        <v>139.13043478260869</v>
      </c>
      <c r="L78" s="21">
        <v>17.25</v>
      </c>
      <c r="M78" s="13">
        <f>AVERAGE(M70:M77)</f>
        <v>2299.8824117648805</v>
      </c>
      <c r="N78" s="12">
        <f t="shared" si="46"/>
        <v>133.32651662405104</v>
      </c>
      <c r="O78" s="14">
        <f t="shared" si="47"/>
        <v>0</v>
      </c>
      <c r="P78" s="15">
        <f t="shared" si="48"/>
        <v>-5.80391815855765</v>
      </c>
      <c r="Q78" s="363">
        <f t="shared" si="49"/>
        <v>0.95828433823536685</v>
      </c>
      <c r="R78" s="616"/>
      <c r="S78" s="32"/>
      <c r="T78" s="32"/>
      <c r="U78" s="12"/>
      <c r="V78" s="365"/>
      <c r="W78" s="12"/>
      <c r="X78" s="12"/>
      <c r="Y78" s="22">
        <f>SUM(Y70:Y77)</f>
        <v>0</v>
      </c>
      <c r="Z78" s="22">
        <f>SUM(Z70:Z77)</f>
        <v>0</v>
      </c>
      <c r="AA78" s="611"/>
      <c r="AB78" s="611"/>
      <c r="AC78" s="22">
        <v>8</v>
      </c>
      <c r="AD78" s="22">
        <f>SUM(AD70:AD77)</f>
        <v>0</v>
      </c>
      <c r="AE78" s="14">
        <f t="shared" si="43"/>
        <v>-100.11758823511946</v>
      </c>
      <c r="AF78" s="363">
        <f t="shared" si="50"/>
        <v>0.95828433823536685</v>
      </c>
      <c r="AG78" s="616"/>
    </row>
    <row r="79" spans="1:33">
      <c r="D79" s="23"/>
      <c r="E79" s="23"/>
    </row>
  </sheetData>
  <mergeCells count="199"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A3:A4"/>
    <mergeCell ref="A8:A14"/>
    <mergeCell ref="C8:D8"/>
    <mergeCell ref="R8:R14"/>
    <mergeCell ref="AA8:AB8"/>
    <mergeCell ref="AA13:AB13"/>
    <mergeCell ref="C14:D14"/>
    <mergeCell ref="AA14:AB14"/>
    <mergeCell ref="AG15:AG24"/>
    <mergeCell ref="C16:D16"/>
    <mergeCell ref="AA16:AB16"/>
    <mergeCell ref="C17:D17"/>
    <mergeCell ref="AA17:AB17"/>
    <mergeCell ref="C18:D18"/>
    <mergeCell ref="AG8:AG14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8:AB18"/>
    <mergeCell ref="C19:D19"/>
    <mergeCell ref="AA19:AB19"/>
    <mergeCell ref="C24:D24"/>
    <mergeCell ref="AA24:AB24"/>
    <mergeCell ref="A25:A32"/>
    <mergeCell ref="C25:D25"/>
    <mergeCell ref="R25:R32"/>
    <mergeCell ref="AA25:AB25"/>
    <mergeCell ref="AA30:AB30"/>
    <mergeCell ref="A15:A24"/>
    <mergeCell ref="C15:D15"/>
    <mergeCell ref="R15:R24"/>
    <mergeCell ref="AA15:AB15"/>
    <mergeCell ref="AG25:AG32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2:D32"/>
    <mergeCell ref="AA32:AB32"/>
    <mergeCell ref="AA50:AB50"/>
    <mergeCell ref="A33:A41"/>
    <mergeCell ref="C33:D33"/>
    <mergeCell ref="R33:R41"/>
    <mergeCell ref="AA33:AB33"/>
    <mergeCell ref="AA38:AB38"/>
    <mergeCell ref="C39:D39"/>
    <mergeCell ref="AG33:AG41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39:AB39"/>
    <mergeCell ref="C41:D41"/>
    <mergeCell ref="AA41:AB41"/>
    <mergeCell ref="A51:A55"/>
    <mergeCell ref="C51:D51"/>
    <mergeCell ref="R51:R55"/>
    <mergeCell ref="AA51:AB51"/>
    <mergeCell ref="AG42:AG50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0"/>
    <mergeCell ref="C42:D42"/>
    <mergeCell ref="R42:R50"/>
    <mergeCell ref="AA42:AB42"/>
    <mergeCell ref="AA47:AB47"/>
    <mergeCell ref="C48:D48"/>
    <mergeCell ref="AA48:AB48"/>
    <mergeCell ref="C49:D49"/>
    <mergeCell ref="AA49:AB49"/>
    <mergeCell ref="C50:D50"/>
    <mergeCell ref="AG56:AG64"/>
    <mergeCell ref="C57:D57"/>
    <mergeCell ref="AA57:AB57"/>
    <mergeCell ref="C58:D58"/>
    <mergeCell ref="AA58:AB58"/>
    <mergeCell ref="AA59:AB59"/>
    <mergeCell ref="AG51:AG55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64:D64"/>
    <mergeCell ref="AA64:AB64"/>
    <mergeCell ref="A65:A69"/>
    <mergeCell ref="C65:D65"/>
    <mergeCell ref="R65:R69"/>
    <mergeCell ref="AA65:AB65"/>
    <mergeCell ref="AA60:AB60"/>
    <mergeCell ref="C61:D61"/>
    <mergeCell ref="AA61:AB61"/>
    <mergeCell ref="C62:D62"/>
    <mergeCell ref="AA62:AB62"/>
    <mergeCell ref="C63:D63"/>
    <mergeCell ref="AA63:AB63"/>
    <mergeCell ref="A56:A64"/>
    <mergeCell ref="C56:D56"/>
    <mergeCell ref="R56:R64"/>
    <mergeCell ref="AA56:AB56"/>
    <mergeCell ref="AG65:AG69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A70:A78"/>
    <mergeCell ref="C70:D70"/>
    <mergeCell ref="R70:R78"/>
    <mergeCell ref="AA70:AB70"/>
    <mergeCell ref="AG70:AG78"/>
    <mergeCell ref="C71:D71"/>
    <mergeCell ref="AA71:AB71"/>
    <mergeCell ref="C72:D72"/>
    <mergeCell ref="AA72:AB72"/>
    <mergeCell ref="C73:D73"/>
    <mergeCell ref="C77:D77"/>
    <mergeCell ref="AA77:AB77"/>
    <mergeCell ref="C78:D78"/>
    <mergeCell ref="AA78:AB78"/>
    <mergeCell ref="AA73:AB73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8:O75 O64:O65 O78 O5:O8 O14:O16 O24:O61">
    <cfRule type="cellIs" dxfId="1365" priority="69" operator="greaterThan">
      <formula>0</formula>
    </cfRule>
  </conditionalFormatting>
  <conditionalFormatting sqref="P5:P6 P68 AE68 P70:P75 P33:P40 P65 P8 P14:P16 P25:P31 P56:P61 P42:P54 AE5:AE65 AE70:AE78">
    <cfRule type="cellIs" dxfId="1364" priority="73" operator="lessThan">
      <formula>0</formula>
    </cfRule>
  </conditionalFormatting>
  <conditionalFormatting sqref="AF68 Q68:Q75 Q64:Q65 Q78 Q5:Q8 Q14:Q16 Q24:Q61 AF5:AF65 AF70:AF78">
    <cfRule type="cellIs" dxfId="1363" priority="70" operator="greaterThan">
      <formula>1</formula>
    </cfRule>
    <cfRule type="cellIs" dxfId="1362" priority="71" operator="lessThan">
      <formula>0.8</formula>
    </cfRule>
  </conditionalFormatting>
  <conditionalFormatting sqref="AG15:AG16 R15:R16 AG68 R68:R75 R24:R30 AG24:AG30 AG64:AG65 R64:R65 R78 AG5:AG8 R5:R8 AG32:AG61 R32:R61">
    <cfRule type="cellIs" dxfId="1361" priority="75" operator="lessThan">
      <formula>0.8</formula>
    </cfRule>
  </conditionalFormatting>
  <conditionalFormatting sqref="AG51">
    <cfRule type="cellIs" dxfId="1360" priority="77" operator="lessThan">
      <formula>0.8</formula>
    </cfRule>
  </conditionalFormatting>
  <conditionalFormatting sqref="AG25:AG30">
    <cfRule type="cellIs" dxfId="1359" priority="74" operator="lessThan">
      <formula>0.8</formula>
    </cfRule>
  </conditionalFormatting>
  <conditionalFormatting sqref="AG33">
    <cfRule type="cellIs" dxfId="1358" priority="76" operator="lessThan">
      <formula>0.8</formula>
    </cfRule>
  </conditionalFormatting>
  <conditionalFormatting sqref="AG42:AG49">
    <cfRule type="cellIs" dxfId="1357" priority="72" operator="lessThan">
      <formula>0.8</formula>
    </cfRule>
  </conditionalFormatting>
  <conditionalFormatting sqref="AE69">
    <cfRule type="cellIs" dxfId="1356" priority="68" operator="lessThan">
      <formula>0</formula>
    </cfRule>
  </conditionalFormatting>
  <conditionalFormatting sqref="AF69">
    <cfRule type="cellIs" dxfId="1355" priority="66" operator="greaterThan">
      <formula>1</formula>
    </cfRule>
    <cfRule type="cellIs" dxfId="1354" priority="67" operator="lessThan">
      <formula>0.8</formula>
    </cfRule>
  </conditionalFormatting>
  <conditionalFormatting sqref="O17:O18">
    <cfRule type="cellIs" dxfId="1353" priority="61" operator="greaterThan">
      <formula>0</formula>
    </cfRule>
  </conditionalFormatting>
  <conditionalFormatting sqref="P17:P18">
    <cfRule type="cellIs" dxfId="1352" priority="64" operator="lessThan">
      <formula>0</formula>
    </cfRule>
  </conditionalFormatting>
  <conditionalFormatting sqref="Q17:Q18">
    <cfRule type="cellIs" dxfId="1351" priority="62" operator="greaterThan">
      <formula>1</formula>
    </cfRule>
    <cfRule type="cellIs" dxfId="1350" priority="63" operator="lessThan">
      <formula>0.8</formula>
    </cfRule>
  </conditionalFormatting>
  <conditionalFormatting sqref="R17:R18 AG17:AG18">
    <cfRule type="cellIs" dxfId="1349" priority="65" operator="lessThan">
      <formula>0.8</formula>
    </cfRule>
  </conditionalFormatting>
  <conditionalFormatting sqref="O9:O13">
    <cfRule type="cellIs" dxfId="1348" priority="57" operator="greaterThan">
      <formula>0</formula>
    </cfRule>
  </conditionalFormatting>
  <conditionalFormatting sqref="P9:P13">
    <cfRule type="cellIs" dxfId="1347" priority="60" operator="lessThan">
      <formula>0</formula>
    </cfRule>
  </conditionalFormatting>
  <conditionalFormatting sqref="Q9:Q13">
    <cfRule type="cellIs" dxfId="1346" priority="58" operator="greaterThan">
      <formula>1</formula>
    </cfRule>
    <cfRule type="cellIs" dxfId="1345" priority="59" operator="lessThan">
      <formula>0.8</formula>
    </cfRule>
  </conditionalFormatting>
  <conditionalFormatting sqref="O62">
    <cfRule type="cellIs" dxfId="1344" priority="52" operator="greaterThan">
      <formula>0</formula>
    </cfRule>
  </conditionalFormatting>
  <conditionalFormatting sqref="P62">
    <cfRule type="cellIs" dxfId="1343" priority="55" operator="lessThan">
      <formula>0</formula>
    </cfRule>
  </conditionalFormatting>
  <conditionalFormatting sqref="Q62">
    <cfRule type="cellIs" dxfId="1342" priority="53" operator="greaterThan">
      <formula>1</formula>
    </cfRule>
    <cfRule type="cellIs" dxfId="1341" priority="54" operator="lessThan">
      <formula>0.8</formula>
    </cfRule>
  </conditionalFormatting>
  <conditionalFormatting sqref="R62 AG62">
    <cfRule type="cellIs" dxfId="1340" priority="56" operator="lessThan">
      <formula>0.8</formula>
    </cfRule>
  </conditionalFormatting>
  <conditionalFormatting sqref="O67">
    <cfRule type="cellIs" dxfId="1339" priority="47" operator="greaterThan">
      <formula>0</formula>
    </cfRule>
  </conditionalFormatting>
  <conditionalFormatting sqref="P67 AE67">
    <cfRule type="cellIs" dxfId="1338" priority="50" operator="lessThan">
      <formula>0</formula>
    </cfRule>
  </conditionalFormatting>
  <conditionalFormatting sqref="Q67 AF67">
    <cfRule type="cellIs" dxfId="1337" priority="48" operator="greaterThan">
      <formula>1</formula>
    </cfRule>
    <cfRule type="cellIs" dxfId="1336" priority="49" operator="lessThan">
      <formula>0.8</formula>
    </cfRule>
  </conditionalFormatting>
  <conditionalFormatting sqref="R67 AG67">
    <cfRule type="cellIs" dxfId="1335" priority="51" operator="lessThan">
      <formula>0.8</formula>
    </cfRule>
  </conditionalFormatting>
  <conditionalFormatting sqref="O76">
    <cfRule type="cellIs" dxfId="1334" priority="42" operator="greaterThan">
      <formula>0</formula>
    </cfRule>
  </conditionalFormatting>
  <conditionalFormatting sqref="P76">
    <cfRule type="cellIs" dxfId="1333" priority="45" operator="lessThan">
      <formula>0</formula>
    </cfRule>
  </conditionalFormatting>
  <conditionalFormatting sqref="Q76">
    <cfRule type="cellIs" dxfId="1332" priority="43" operator="greaterThan">
      <formula>1</formula>
    </cfRule>
    <cfRule type="cellIs" dxfId="1331" priority="44" operator="lessThan">
      <formula>0.8</formula>
    </cfRule>
  </conditionalFormatting>
  <conditionalFormatting sqref="R76">
    <cfRule type="cellIs" dxfId="1330" priority="46" operator="lessThan">
      <formula>0.8</formula>
    </cfRule>
  </conditionalFormatting>
  <conditionalFormatting sqref="O19:O20">
    <cfRule type="cellIs" dxfId="1329" priority="37" operator="greaterThan">
      <formula>0</formula>
    </cfRule>
  </conditionalFormatting>
  <conditionalFormatting sqref="P19:P20">
    <cfRule type="cellIs" dxfId="1328" priority="40" operator="lessThan">
      <formula>0</formula>
    </cfRule>
  </conditionalFormatting>
  <conditionalFormatting sqref="Q19:Q20">
    <cfRule type="cellIs" dxfId="1327" priority="38" operator="greaterThan">
      <formula>1</formula>
    </cfRule>
    <cfRule type="cellIs" dxfId="1326" priority="39" operator="lessThan">
      <formula>0.8</formula>
    </cfRule>
  </conditionalFormatting>
  <conditionalFormatting sqref="R19:R20 AG19:AG20">
    <cfRule type="cellIs" dxfId="1325" priority="41" operator="lessThan">
      <formula>0.8</formula>
    </cfRule>
  </conditionalFormatting>
  <conditionalFormatting sqref="O63">
    <cfRule type="cellIs" dxfId="1324" priority="32" operator="greaterThan">
      <formula>0</formula>
    </cfRule>
  </conditionalFormatting>
  <conditionalFormatting sqref="P63">
    <cfRule type="cellIs" dxfId="1323" priority="35" operator="lessThan">
      <formula>0</formula>
    </cfRule>
  </conditionalFormatting>
  <conditionalFormatting sqref="Q63">
    <cfRule type="cellIs" dxfId="1322" priority="33" operator="greaterThan">
      <formula>1</formula>
    </cfRule>
    <cfRule type="cellIs" dxfId="1321" priority="34" operator="lessThan">
      <formula>0.8</formula>
    </cfRule>
  </conditionalFormatting>
  <conditionalFormatting sqref="AG63 R63">
    <cfRule type="cellIs" dxfId="1320" priority="36" operator="lessThan">
      <formula>0.8</formula>
    </cfRule>
  </conditionalFormatting>
  <conditionalFormatting sqref="R31 AG31">
    <cfRule type="cellIs" dxfId="1319" priority="31" operator="lessThan">
      <formula>0.8</formula>
    </cfRule>
  </conditionalFormatting>
  <conditionalFormatting sqref="AG31">
    <cfRule type="cellIs" dxfId="1318" priority="30" operator="lessThan">
      <formula>0.8</formula>
    </cfRule>
  </conditionalFormatting>
  <conditionalFormatting sqref="O66">
    <cfRule type="cellIs" dxfId="1317" priority="25" operator="greaterThan">
      <formula>0</formula>
    </cfRule>
  </conditionalFormatting>
  <conditionalFormatting sqref="P66 AE66">
    <cfRule type="cellIs" dxfId="1316" priority="28" operator="lessThan">
      <formula>0</formula>
    </cfRule>
  </conditionalFormatting>
  <conditionalFormatting sqref="Q66 AF66">
    <cfRule type="cellIs" dxfId="1315" priority="26" operator="greaterThan">
      <formula>1</formula>
    </cfRule>
    <cfRule type="cellIs" dxfId="1314" priority="27" operator="lessThan">
      <formula>0.8</formula>
    </cfRule>
  </conditionalFormatting>
  <conditionalFormatting sqref="R66 AG66">
    <cfRule type="cellIs" dxfId="1313" priority="29" operator="lessThan">
      <formula>0.8</formula>
    </cfRule>
  </conditionalFormatting>
  <conditionalFormatting sqref="O21">
    <cfRule type="cellIs" dxfId="1312" priority="20" operator="greaterThan">
      <formula>0</formula>
    </cfRule>
  </conditionalFormatting>
  <conditionalFormatting sqref="P21">
    <cfRule type="cellIs" dxfId="1311" priority="23" operator="lessThan">
      <formula>0</formula>
    </cfRule>
  </conditionalFormatting>
  <conditionalFormatting sqref="Q21">
    <cfRule type="cellIs" dxfId="1310" priority="21" operator="greaterThan">
      <formula>1</formula>
    </cfRule>
    <cfRule type="cellIs" dxfId="1309" priority="22" operator="lessThan">
      <formula>0.8</formula>
    </cfRule>
  </conditionalFormatting>
  <conditionalFormatting sqref="AG21 R21">
    <cfRule type="cellIs" dxfId="1308" priority="24" operator="lessThan">
      <formula>0.8</formula>
    </cfRule>
  </conditionalFormatting>
  <conditionalFormatting sqref="O22:O23">
    <cfRule type="cellIs" dxfId="1307" priority="15" operator="greaterThan">
      <formula>0</formula>
    </cfRule>
  </conditionalFormatting>
  <conditionalFormatting sqref="P22:P23">
    <cfRule type="cellIs" dxfId="1306" priority="18" operator="lessThan">
      <formula>0</formula>
    </cfRule>
  </conditionalFormatting>
  <conditionalFormatting sqref="Q22:Q23">
    <cfRule type="cellIs" dxfId="1305" priority="16" operator="greaterThan">
      <formula>1</formula>
    </cfRule>
    <cfRule type="cellIs" dxfId="1304" priority="17" operator="lessThan">
      <formula>0.8</formula>
    </cfRule>
  </conditionalFormatting>
  <conditionalFormatting sqref="AG22 R22">
    <cfRule type="cellIs" dxfId="1303" priority="19" operator="lessThan">
      <formula>0.8</formula>
    </cfRule>
  </conditionalFormatting>
  <conditionalFormatting sqref="P7">
    <cfRule type="cellIs" dxfId="1302" priority="14" operator="lessThan">
      <formula>0</formula>
    </cfRule>
  </conditionalFormatting>
  <conditionalFormatting sqref="P24">
    <cfRule type="cellIs" dxfId="1301" priority="13" operator="lessThan">
      <formula>0</formula>
    </cfRule>
  </conditionalFormatting>
  <conditionalFormatting sqref="P32">
    <cfRule type="cellIs" dxfId="1300" priority="12" operator="lessThan">
      <formula>0</formula>
    </cfRule>
  </conditionalFormatting>
  <conditionalFormatting sqref="P41">
    <cfRule type="cellIs" dxfId="1299" priority="11" operator="lessThan">
      <formula>0</formula>
    </cfRule>
  </conditionalFormatting>
  <conditionalFormatting sqref="P55">
    <cfRule type="cellIs" dxfId="1298" priority="10" operator="lessThan">
      <formula>0</formula>
    </cfRule>
  </conditionalFormatting>
  <conditionalFormatting sqref="P64">
    <cfRule type="cellIs" dxfId="1297" priority="9" operator="lessThan">
      <formula>0</formula>
    </cfRule>
  </conditionalFormatting>
  <conditionalFormatting sqref="P69">
    <cfRule type="cellIs" dxfId="1296" priority="8" operator="lessThan">
      <formula>0</formula>
    </cfRule>
  </conditionalFormatting>
  <conditionalFormatting sqref="P78">
    <cfRule type="cellIs" dxfId="1295" priority="7" operator="lessThan">
      <formula>0</formula>
    </cfRule>
  </conditionalFormatting>
  <conditionalFormatting sqref="O77">
    <cfRule type="cellIs" dxfId="1294" priority="2" operator="greaterThan">
      <formula>0</formula>
    </cfRule>
  </conditionalFormatting>
  <conditionalFormatting sqref="P77">
    <cfRule type="cellIs" dxfId="1293" priority="5" operator="lessThan">
      <formula>0</formula>
    </cfRule>
  </conditionalFormatting>
  <conditionalFormatting sqref="Q77">
    <cfRule type="cellIs" dxfId="1292" priority="3" operator="greaterThan">
      <formula>1</formula>
    </cfRule>
    <cfRule type="cellIs" dxfId="1291" priority="4" operator="lessThan">
      <formula>0.8</formula>
    </cfRule>
  </conditionalFormatting>
  <conditionalFormatting sqref="R77">
    <cfRule type="cellIs" dxfId="1290" priority="6" operator="lessThan">
      <formula>0.8</formula>
    </cfRule>
  </conditionalFormatting>
  <conditionalFormatting sqref="AG23 R23">
    <cfRule type="cellIs" dxfId="1289" priority="1" operator="lessThan">
      <formula>0.8</formula>
    </cfRule>
  </conditionalFormatting>
  <dataValidations count="1">
    <dataValidation type="list" allowBlank="1" showInputMessage="1" showErrorMessage="1" sqref="AB7 AA5:AB6 AA7:AA68 AB9:AB65 AA69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1736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1737</v>
      </c>
      <c r="C3" s="594" t="str">
        <f>TEXT('0719 4度C'!A2,"yyyy.mm.ddaaaa")</f>
        <v>2026.07.19星期日</v>
      </c>
      <c r="D3" s="595"/>
      <c r="E3" s="36" t="s">
        <v>1738</v>
      </c>
      <c r="F3" s="596">
        <f>'0719 4度C'!D1</f>
        <v>201581</v>
      </c>
      <c r="G3" s="597"/>
      <c r="H3" s="36" t="s">
        <v>1739</v>
      </c>
      <c r="I3" s="598">
        <f>'0719 4度C'!F1</f>
        <v>6862748.1400000006</v>
      </c>
      <c r="J3" s="599"/>
      <c r="K3" s="37"/>
      <c r="L3" s="38"/>
      <c r="M3" s="39"/>
      <c r="N3" s="39"/>
    </row>
    <row r="4" spans="2:17" ht="28.5" customHeight="1">
      <c r="B4" s="600" t="s">
        <v>1740</v>
      </c>
      <c r="C4" s="586" t="s">
        <v>1741</v>
      </c>
      <c r="D4" s="587"/>
      <c r="E4" s="603" t="s">
        <v>1742</v>
      </c>
      <c r="F4" s="604"/>
      <c r="G4" s="603" t="s">
        <v>1743</v>
      </c>
      <c r="H4" s="604"/>
      <c r="I4" s="603" t="s">
        <v>1744</v>
      </c>
      <c r="J4" s="604"/>
      <c r="K4" s="584" t="s">
        <v>1745</v>
      </c>
      <c r="L4" s="585"/>
      <c r="M4" s="585" t="s">
        <v>1746</v>
      </c>
      <c r="N4" s="585"/>
    </row>
    <row r="5" spans="2:17" ht="28.5" customHeight="1">
      <c r="B5" s="601"/>
      <c r="C5" s="586" t="s">
        <v>1747</v>
      </c>
      <c r="D5" s="587"/>
      <c r="E5" s="586" t="s">
        <v>1748</v>
      </c>
      <c r="F5" s="587"/>
      <c r="G5" s="588" t="s">
        <v>1749</v>
      </c>
      <c r="H5" s="589"/>
      <c r="I5" s="590" t="s">
        <v>1750</v>
      </c>
      <c r="J5" s="591"/>
      <c r="K5" s="40" t="s">
        <v>1751</v>
      </c>
      <c r="L5" s="41" t="s">
        <v>1752</v>
      </c>
      <c r="M5" s="40" t="s">
        <v>1751</v>
      </c>
      <c r="N5" s="41" t="s">
        <v>1753</v>
      </c>
    </row>
    <row r="6" spans="2:17" ht="28.5" customHeight="1">
      <c r="B6" s="601"/>
      <c r="C6" s="586" t="s">
        <v>41</v>
      </c>
      <c r="D6" s="587"/>
      <c r="E6" s="578">
        <f>AVERAGE(D13:M13)</f>
        <v>157.21745834598491</v>
      </c>
      <c r="F6" s="579">
        <f>AVERAGE(D31:O31,D13:J13)</f>
        <v>166.69224553944937</v>
      </c>
      <c r="G6" s="580">
        <f>AVERAGE(D13:J13)</f>
        <v>166.69224553944937</v>
      </c>
      <c r="H6" s="581"/>
      <c r="I6" s="580">
        <f>AVERAGE(K13:M13)</f>
        <v>135.10962156123446</v>
      </c>
      <c r="J6" s="581"/>
      <c r="K6" s="582">
        <f>'0719 4度C'!Y2</f>
        <v>0</v>
      </c>
      <c r="L6" s="567">
        <f>'0719 4度C'!Z2</f>
        <v>0</v>
      </c>
      <c r="M6" s="583">
        <f>'0719 4度C'!AC2</f>
        <v>65</v>
      </c>
      <c r="N6" s="567">
        <f>'0719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150.57266089083208</v>
      </c>
      <c r="F7" s="571">
        <f>AVERAGE(D32:O32,D14:J14)</f>
        <v>159.71169730069309</v>
      </c>
      <c r="G7" s="572">
        <f>AVERAGE(D14:J14)</f>
        <v>159.71169730069309</v>
      </c>
      <c r="H7" s="573"/>
      <c r="I7" s="572">
        <f>AVERAGE(K14:M14)</f>
        <v>129.24824260115636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0.95704815597228721</v>
      </c>
      <c r="F8" s="575">
        <f>AVERAGE(D15:J15,D33:O33)</f>
        <v>0.95724310236355492</v>
      </c>
      <c r="G8" s="576">
        <f>AVERAGE(D15:J15)</f>
        <v>0.95724310236355492</v>
      </c>
      <c r="H8" s="577"/>
      <c r="I8" s="576">
        <f>AVERAGE(K15:M15)</f>
        <v>0.9565932810593295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1754</v>
      </c>
      <c r="N9" s="39"/>
      <c r="O9" s="39"/>
      <c r="P9" s="39"/>
      <c r="Q9" s="39"/>
    </row>
    <row r="10" spans="2:17" ht="30" customHeight="1">
      <c r="B10" s="550" t="s">
        <v>1755</v>
      </c>
      <c r="C10" s="551"/>
      <c r="D10" s="552" t="s">
        <v>1756</v>
      </c>
      <c r="E10" s="553"/>
      <c r="F10" s="553"/>
      <c r="G10" s="553"/>
      <c r="H10" s="553"/>
      <c r="I10" s="553"/>
      <c r="J10" s="554"/>
      <c r="K10" s="555" t="s">
        <v>1757</v>
      </c>
      <c r="L10" s="556"/>
      <c r="M10" s="557"/>
      <c r="P10" s="45"/>
      <c r="Q10" s="45"/>
    </row>
    <row r="11" spans="2:17" ht="17.25" customHeight="1">
      <c r="B11" s="558" t="s">
        <v>1758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1759</v>
      </c>
      <c r="C13" s="52" t="s">
        <v>1760</v>
      </c>
      <c r="D13" s="53">
        <f>SUMIFS('0719 4度C'!$K:$K,'0719 4度C'!$A:$A,"新豐6線",'0719 4度C'!$B:$B,"平均")</f>
        <v>129.03225806451613</v>
      </c>
      <c r="E13" s="54">
        <f>SUMIFS('0719 4度C'!$K:$K,'0719 4度C'!$A:$A,"新豐2線",'0719 4度C'!$B:$B,"平均")</f>
        <v>84.905660377358487</v>
      </c>
      <c r="F13" s="55">
        <f>SUMIFS('0719 4度C'!$K:$K,'0719 4度C'!$A:$A,"新豐5線",'0719 4度C'!$B:$B,"平均")</f>
        <v>93.75</v>
      </c>
      <c r="G13" s="55">
        <f>SUMIFS('0719 4度C'!$K:$K,'0719 4度C'!$A:$A,"新豐7線",'0719 4度C'!$B:$B,"平均")</f>
        <v>126.12612612612612</v>
      </c>
      <c r="H13" s="55">
        <f>SUMIFS('0719 4度C'!$K:$K,'0719 4度C'!$A:$A,"新豐3線",'0719 4度C'!$B:$B,"平均")</f>
        <v>307.69230769230768</v>
      </c>
      <c r="I13" s="55">
        <f>SUMIFS('0719 4度C'!$K:$K,'0719 4度C'!$A:$A,"新豐1線",'0719 4度C'!$B:$B,"平均")</f>
        <v>117.64705882352941</v>
      </c>
      <c r="J13" s="56">
        <f>SUMIFS('0719 4度C'!$K:$K,'0719 4度C'!$A:$A,"新豐10線",'0719 4度C'!$B:$B,"平均")</f>
        <v>307.69230769230768</v>
      </c>
      <c r="K13" s="57">
        <f>SUMIFS('0719 4度C'!$K:$K,'0719 4度C'!$A:$A,"新豐8線",'0719 4度C'!$B:$B,"平均")</f>
        <v>140.25974025974025</v>
      </c>
      <c r="L13" s="58">
        <f>SUMIFS('0719 4度C'!$K:$K,'0719 4度C'!$A:$A,"新豐9線",'0719 4度C'!$B:$B,"平均")</f>
        <v>125.71428571428571</v>
      </c>
      <c r="M13" s="56">
        <f>SUMIFS('0719 4度C'!$K:$K,'0719 4度C'!$A:$A,"新豐4線",'0719 4度C'!$B:$B,"平均")</f>
        <v>139.35483870967744</v>
      </c>
    </row>
    <row r="14" spans="2:17" ht="39.6" customHeight="1">
      <c r="B14" s="563"/>
      <c r="C14" s="59" t="s">
        <v>1761</v>
      </c>
      <c r="D14" s="60">
        <f>SUMIFS('0719 4度C'!$N:$N,'0719 4度C'!$A:$A,"新豐6線",'0719 4度C'!$B:$B,"平均")</f>
        <v>123.29507842336604</v>
      </c>
      <c r="E14" s="61">
        <f>SUMIFS('0719 4度C'!$N:$N,'0719 4度C'!$A:$A,"新豐2線",'0719 4度C'!$B:$B,"平均")</f>
        <v>80.983723563150662</v>
      </c>
      <c r="F14" s="61">
        <f>SUMIFS('0719 4度C'!$N:$N,'0719 4度C'!$A:$A,"新豐5線",'0719 4度C'!$B:$B,"平均")</f>
        <v>89.583745927219709</v>
      </c>
      <c r="G14" s="61">
        <f>SUMIFS('0719 4度C'!$N:$N,'0719 4度C'!$A:$A,"新豐7線",'0719 4度C'!$B:$B,"平均")</f>
        <v>120.77602883000812</v>
      </c>
      <c r="H14" s="61">
        <f>SUMIFS('0719 4度C'!$N:$N,'0719 4度C'!$A:$A,"新豐3線",'0719 4度C'!$B:$B,"平均")</f>
        <v>294.4776846826511</v>
      </c>
      <c r="I14" s="61">
        <f>SUMIFS('0719 4度C'!$N:$N,'0719 4度C'!$A:$A,"新豐1線",'0719 4度C'!$B:$B,"平均")</f>
        <v>112.82847463837963</v>
      </c>
      <c r="J14" s="62">
        <f>SUMIFS('0719 4度C'!$N:$N,'0719 4度C'!$A:$A,"新豐10線",'0719 4度C'!$B:$B,"平均")</f>
        <v>296.03714504007655</v>
      </c>
      <c r="K14" s="63">
        <f>SUMIFS('0719 4度C'!$N:$N,'0719 4度C'!$A:$A,"新豐8線",'0719 4度C'!$B:$B,"平均")</f>
        <v>134.21919034585162</v>
      </c>
      <c r="L14" s="64">
        <f>SUMIFS('0719 4度C'!$N:$N,'0719 4度C'!$A:$A,"新豐9線",'0719 4度C'!$B:$B,"平均")</f>
        <v>120.16941042151123</v>
      </c>
      <c r="M14" s="62">
        <f>SUMIFS('0719 4度C'!$N:$N,'0719 4度C'!$A:$A,"新豐4線",'0719 4度C'!$B:$B,"平均")</f>
        <v>133.3561270361063</v>
      </c>
    </row>
    <row r="15" spans="2:17" ht="40.15" customHeight="1">
      <c r="B15" s="564"/>
      <c r="C15" s="65" t="s">
        <v>1762</v>
      </c>
      <c r="D15" s="66">
        <f t="shared" ref="D15:M15" si="0">D14/D13</f>
        <v>0.95553685778108677</v>
      </c>
      <c r="E15" s="67">
        <f t="shared" si="0"/>
        <v>0.95380829974377446</v>
      </c>
      <c r="F15" s="67">
        <f t="shared" si="0"/>
        <v>0.9555599565570102</v>
      </c>
      <c r="G15" s="67">
        <f t="shared" si="0"/>
        <v>0.95758137143792155</v>
      </c>
      <c r="H15" s="67">
        <f t="shared" si="0"/>
        <v>0.95705247521861614</v>
      </c>
      <c r="I15" s="67">
        <f t="shared" si="0"/>
        <v>0.95904203442622693</v>
      </c>
      <c r="J15" s="68">
        <f t="shared" si="0"/>
        <v>0.96212072138024884</v>
      </c>
      <c r="K15" s="66">
        <f t="shared" si="0"/>
        <v>0.95693311635468281</v>
      </c>
      <c r="L15" s="67">
        <f t="shared" si="0"/>
        <v>0.95589303744383936</v>
      </c>
      <c r="M15" s="68">
        <f t="shared" si="0"/>
        <v>0.95695368937946634</v>
      </c>
    </row>
    <row r="16" spans="2:17" ht="17.25" customHeight="1">
      <c r="B16" s="565" t="s">
        <v>1763</v>
      </c>
      <c r="C16" s="69" t="s">
        <v>1764</v>
      </c>
      <c r="D16" s="70">
        <f>VLOOKUP("新豐6線",'0719 4度C'!$A:$T,19,0)</f>
        <v>0.70833333333333337</v>
      </c>
      <c r="E16" s="71">
        <f>VLOOKUP("新豐2線",'0719 4度C'!$A:$T,19,0)</f>
        <v>8.3333333333333329E-2</v>
      </c>
      <c r="F16" s="71">
        <f>VLOOKUP("新豐5線",'0719 4度C'!$A:$T,19,0)</f>
        <v>8.3333333333333329E-2</v>
      </c>
      <c r="G16" s="71">
        <f>VLOOKUP("新豐7線",'0719 4度C'!$A:$T,19,0)</f>
        <v>0.20833333333333334</v>
      </c>
      <c r="H16" s="71">
        <f>VLOOKUP("新豐3線",'0719 4度C'!$A:$T,19,0)</f>
        <v>0.20833333333333334</v>
      </c>
      <c r="I16" s="71">
        <f>VLOOKUP("新豐1線",'0719 4度C'!$A:$T,19,0)</f>
        <v>0.20833333333333334</v>
      </c>
      <c r="J16" s="72">
        <f>VLOOKUP("新豐10線",'0719 4度C'!$A:$T,19,0)</f>
        <v>0.20833333333333334</v>
      </c>
      <c r="K16" s="73">
        <f>VLOOKUP("新豐8線",'0719 4度C'!$A:$T,19,0)</f>
        <v>8.3333333333333329E-2</v>
      </c>
      <c r="L16" s="74">
        <f>VLOOKUP("新豐9線",'0719 4度C'!$A:$T,19,0)</f>
        <v>8.3333333333333329E-2</v>
      </c>
      <c r="M16" s="75">
        <f>VLOOKUP("新豐4線",'0719 4度C'!$A:$T,19,0)</f>
        <v>8.3333333333333329E-2</v>
      </c>
    </row>
    <row r="17" spans="2:13" ht="17.25" customHeight="1">
      <c r="B17" s="566"/>
      <c r="C17" s="69" t="s">
        <v>1765</v>
      </c>
      <c r="D17" s="73">
        <f>LOOKUP(2,1/(('0719 4度C'!$A:$A="新豐6線")*('0719 4度C'!$T:$T&lt;&gt;"")),'0719 4度C'!$T:$T)</f>
        <v>0.82638888888888895</v>
      </c>
      <c r="E17" s="71">
        <f>LOOKUP(2,1/(('0719 4度C'!$A:$A="新豐2線")*('0719 4度C'!$T:$T&lt;&gt;"")),'0719 4度C'!$T:$T)</f>
        <v>0.71458333333333324</v>
      </c>
      <c r="F17" s="71">
        <f>LOOKUP(2,1/(('0719 4度C'!$A:$A="新豐5線")*('0719 4度C'!$T:$T&lt;&gt;"")),'0719 4度C'!$T:$T)</f>
        <v>0.83958333333333335</v>
      </c>
      <c r="G17" s="71">
        <f>LOOKUP(2,1/(('0719 4度C'!$A:$A="新豐7線")*('0719 4度C'!$T:$T&lt;&gt;"")),'0719 4度C'!$T:$T)</f>
        <v>0.90763888888888877</v>
      </c>
      <c r="H17" s="71">
        <f>LOOKUP(2,1/(('0719 4度C'!$A:$A="新豐3線")*('0719 4度C'!$T:$T&lt;&gt;"")),'0719 4度C'!$T:$T)</f>
        <v>0.47500000000000003</v>
      </c>
      <c r="I17" s="71">
        <f>LOOKUP(2,1/(('0719 4度C'!$A:$A="新豐1線")*('0719 4度C'!$T:$T&lt;&gt;"")),'0719 4度C'!$T:$T)</f>
        <v>0.90208333333333335</v>
      </c>
      <c r="J17" s="72">
        <f>LOOKUP(2,1/(('0719 4度C'!$A:$A="新豐10線")*('0719 4度C'!$T:$T&lt;&gt;"")),'0719 4度C'!$T:$T)</f>
        <v>0.3965277777777777</v>
      </c>
      <c r="K17" s="70">
        <f>LOOKUP(2,1/(('0719 4度C'!$A:$A="新豐8線")*('0719 4度C'!$T:$T&lt;&gt;"")),'0719 4度C'!$T:$T)</f>
        <v>0.78680555555555554</v>
      </c>
      <c r="L17" s="71">
        <f>LOOKUP(2,1/(('0719 4度C'!$A:$A="新豐9線")*('0719 4度C'!$T:$T&lt;&gt;"")),'0719 4度C'!$T:$T)</f>
        <v>0.76180555555555551</v>
      </c>
      <c r="M17" s="72">
        <f>LOOKUP(2,1/(('0719 4度C'!$A:$A="新豐4線")*('0719 4度C'!$T:$T&lt;&gt;"")),'0719 4度C'!$T:$T)</f>
        <v>0.7715277777777777</v>
      </c>
    </row>
    <row r="18" spans="2:13" ht="17.25" customHeight="1">
      <c r="B18" s="544" t="s">
        <v>1766</v>
      </c>
      <c r="C18" s="76" t="s">
        <v>1767</v>
      </c>
      <c r="D18" s="77">
        <f>SUMIFS('0719 4度C'!$Y:$Y,'0719 4度C'!$A:$A,"新豐6線",'0719 4度C'!$B:$B,"平均")</f>
        <v>0</v>
      </c>
      <c r="E18" s="78">
        <f>SUMIFS('0719 4度C'!$Y:$Y,'0719 4度C'!$A:$A,"新豐2線",'0719 4度C'!$B:$B,"平均")</f>
        <v>0</v>
      </c>
      <c r="F18" s="78">
        <f>SUMIFS('0719 4度C'!$Y:$Y,'0719 4度C'!$A:$A,"新豐5線",'0719 4度C'!$B:$B,"平均")</f>
        <v>0</v>
      </c>
      <c r="G18" s="78">
        <f>SUMIFS('0719 4度C'!$Y:$Y,'0719 4度C'!$A:$A,"新豐7線",'0719 4度C'!$B:$B,"平均")</f>
        <v>0</v>
      </c>
      <c r="H18" s="78">
        <f>SUMIFS('0719 4度C'!$Y:$Y,'0719 4度C'!$A:$A,"新豐3線",'0719 4度C'!$B:$B,"平均")</f>
        <v>0</v>
      </c>
      <c r="I18" s="78">
        <f>SUMIFS('0719 4度C'!$Y:$Y,'0719 4度C'!$A:$A,"新豐1線",'0719 4度C'!$B:$B,"平均")</f>
        <v>0</v>
      </c>
      <c r="J18" s="79">
        <f>SUMIFS('0719 4度C'!$Y:$Y,'0719 4度C'!$A:$A,"新豐10線",'0719 4度C'!$B:$B,"平均")</f>
        <v>0</v>
      </c>
      <c r="K18" s="80">
        <f>SUMIFS('0719 4度C'!$Y:$Y,'0719 4度C'!$A:$A,"新豐8線",'0719 4度C'!$B:$B,"平均")</f>
        <v>0</v>
      </c>
      <c r="L18" s="78">
        <f>SUMIFS('0719 4度C'!$Y:$Y,'0719 4度C'!$A:$A,"新豐9線",'0719 4度C'!$B:$B,"平均")</f>
        <v>0</v>
      </c>
      <c r="M18" s="79">
        <f>SUMIFS('0719 4度C'!$Y:$Y,'0719 4度C'!$A:$A,"新豐4線",'0719 4度C'!$B:$B,"平均")</f>
        <v>0</v>
      </c>
    </row>
    <row r="19" spans="2:13" ht="17.25" customHeight="1">
      <c r="B19" s="545"/>
      <c r="C19" s="76" t="s">
        <v>1768</v>
      </c>
      <c r="D19" s="77">
        <f>SUMIFS('0719 4度C'!$Z:$Z,'0719 4度C'!$A:$A,"新豐6線",'0719 4度C'!$B:$B,"平均")</f>
        <v>0</v>
      </c>
      <c r="E19" s="78">
        <f>SUMIFS('0719 4度C'!$Z:$Z,'0719 4度C'!$A:$A,"新豐2線",'0719 4度C'!$B:$B,"平均")</f>
        <v>0</v>
      </c>
      <c r="F19" s="78">
        <f>SUMIFS('0719 4度C'!$Z:$Z,'0719 4度C'!$A:$A,"新豐5線",'0719 4度C'!$B:$B,"平均")</f>
        <v>0</v>
      </c>
      <c r="G19" s="78">
        <f>SUMIFS('0719 4度C'!$Z:$Z,'0719 4度C'!$A:$A,"新豐7線",'0719 4度C'!$B:$B,"平均")</f>
        <v>0</v>
      </c>
      <c r="H19" s="78">
        <f>SUMIFS('0719 4度C'!$Z:$Z,'0719 4度C'!$A:$A,"新豐3線",'0719 4度C'!$B:$B,"平均")</f>
        <v>0</v>
      </c>
      <c r="I19" s="78">
        <f>SUMIFS('0719 4度C'!$Z:$Z,'0719 4度C'!$A:$A,"新豐1線",'0719 4度C'!$B:$B,"平均")</f>
        <v>0</v>
      </c>
      <c r="J19" s="79">
        <f>SUMIFS('0719 4度C'!$Z:$Z,'0719 4度C'!$A:$A,"新豐10線",'0719 4度C'!$B:$B,"平均")</f>
        <v>0</v>
      </c>
      <c r="K19" s="80">
        <f>SUMIFS('0719 4度C'!$Z:$Z,'0719 4度C'!$A:$A,"新豐8線",'0719 4度C'!$B:$B,"平均")</f>
        <v>0</v>
      </c>
      <c r="L19" s="78">
        <f>SUMIFS('0719 4度C'!$Z:$Z,'0719 4度C'!$A:$A,"新豐9線",'0719 4度C'!$B:$B,"平均")</f>
        <v>0</v>
      </c>
      <c r="M19" s="79">
        <f>SUMIFS('0719 4度C'!$Z:$Z,'0719 4度C'!$A:$A,"新豐4線",'0719 4度C'!$B:$B,"平均")</f>
        <v>0</v>
      </c>
    </row>
    <row r="20" spans="2:13" ht="17.25" customHeight="1">
      <c r="B20" s="544" t="s">
        <v>1769</v>
      </c>
      <c r="C20" s="76" t="s">
        <v>1770</v>
      </c>
      <c r="D20" s="77">
        <f>SUMIFS('0719 4度C'!$AC:$AC,'0719 4度C'!$A:$A,"新豐6線",'0719 4度C'!$B:$B,"平均")</f>
        <v>2</v>
      </c>
      <c r="E20" s="78">
        <f>SUMIFS('0719 4度C'!$AC:$AC,'0719 4度C'!$A:$A,"新豐2線",'0719 4度C'!$B:$B,"平均")</f>
        <v>6</v>
      </c>
      <c r="F20" s="78">
        <f>SUMIFS('0719 4度C'!$AC:$AC,'0719 4度C'!$A:$A,"新豐5線",'0719 4度C'!$B:$B,"平均")</f>
        <v>7</v>
      </c>
      <c r="G20" s="78">
        <f>SUMIFS('0719 4度C'!$AC:$AC,'0719 4度C'!$A:$A,"新豐7線",'0719 4度C'!$B:$B,"平均")</f>
        <v>7</v>
      </c>
      <c r="H20" s="78">
        <f>SUMIFS('0719 4度C'!$AC:$AC,'0719 4度C'!$A:$A,"新豐3線",'0719 4度C'!$B:$B,"平均")</f>
        <v>4</v>
      </c>
      <c r="I20" s="78">
        <f>SUMIFS('0719 4度C'!$AC:$AC,'0719 4度C'!$A:$A,"新豐1線",'0719 4度C'!$B:$B,"平均")</f>
        <v>9</v>
      </c>
      <c r="J20" s="79">
        <f>SUMIFS('0719 4度C'!$AC:$AC,'0719 4度C'!$A:$A,"新豐10線",'0719 4度C'!$B:$B,"平均")</f>
        <v>4</v>
      </c>
      <c r="K20" s="80">
        <f>SUMIFS('0719 4度C'!$AC:$AC,'0719 4度C'!$A:$A,"新豐8線",'0719 4度C'!$B:$B,"平均")</f>
        <v>9</v>
      </c>
      <c r="L20" s="78">
        <f>SUMIFS('0719 4度C'!$AC:$AC,'0719 4度C'!$A:$A,"新豐9線",'0719 4度C'!$B:$B,"平均")</f>
        <v>8</v>
      </c>
      <c r="M20" s="79">
        <f>SUMIFS('0719 4度C'!$AC:$AC,'0719 4度C'!$A:$A,"新豐4線",'0719 4度C'!$B:$B,"平均")</f>
        <v>9</v>
      </c>
    </row>
    <row r="21" spans="2:13" ht="17.25" customHeight="1">
      <c r="B21" s="545"/>
      <c r="C21" s="76" t="s">
        <v>1771</v>
      </c>
      <c r="D21" s="77">
        <f>SUMIFS('0719 4度C'!$AD:$AD,'0719 4度C'!$A:$A,"新豐6線",'0719 4度C'!$B:$B,"平均")</f>
        <v>0</v>
      </c>
      <c r="E21" s="78">
        <f>SUMIFS('0719 4度C'!$AD:$AD,'0719 4度C'!$A:$A,"新豐2線",'0719 4度C'!$B:$B,"平均")</f>
        <v>0</v>
      </c>
      <c r="F21" s="78">
        <f>SUMIFS('0719 4度C'!$AD:$AD,'0719 4度C'!$A:$A,"新豐5線",'0719 4度C'!$B:$B,"平均")</f>
        <v>0</v>
      </c>
      <c r="G21" s="78">
        <f>SUMIFS('0719 4度C'!$AD:$AD,'0719 4度C'!$A:$A,"新豐7線",'0719 4度C'!$B:$B,"平均")</f>
        <v>0</v>
      </c>
      <c r="H21" s="78">
        <f>SUMIFS('0719 4度C'!$AD:$AD,'0719 4度C'!$A:$A,"新豐3線",'0719 4度C'!$B:$B,"平均")</f>
        <v>0</v>
      </c>
      <c r="I21" s="78">
        <f>SUMIFS('0719 4度C'!$AD:$AD,'0719 4度C'!$A:$A,"新豐1線",'0719 4度C'!$B:$B,"平均")</f>
        <v>0</v>
      </c>
      <c r="J21" s="79">
        <f>SUMIFS('0719 4度C'!$AD:$AD,'0719 4度C'!$A:$A,"新豐10線",'0719 4度C'!$B:$B,"平均")</f>
        <v>0</v>
      </c>
      <c r="K21" s="80">
        <f>SUMIFS('0719 4度C'!$AD:$AD,'0719 4度C'!$A:$A,"新豐8線",'0719 4度C'!$B:$B,"平均")</f>
        <v>0</v>
      </c>
      <c r="L21" s="78">
        <f>SUMIFS('0719 4度C'!$AD:$AD,'0719 4度C'!$A:$A,"新豐9線",'0719 4度C'!$B:$B,"平均")</f>
        <v>0</v>
      </c>
      <c r="M21" s="79">
        <f>SUMIFS('0719 4度C'!$AD:$AD,'0719 4度C'!$A:$A,"新豐4線",'0719 4度C'!$B:$B,"平均")</f>
        <v>0</v>
      </c>
    </row>
    <row r="22" spans="2:13" ht="17.25" customHeight="1">
      <c r="B22" s="546" t="s">
        <v>1772</v>
      </c>
      <c r="C22" s="547"/>
      <c r="D22" s="81">
        <f>SUMIFS('0719 4度C'!$I:$I,'0719 4度C'!$A:$A,"新豐6線",'0719 4度C'!$B:$B,"平均")</f>
        <v>15.5</v>
      </c>
      <c r="E22" s="82">
        <f>SUMIFS('0719 4度C'!$I:$I,'0719 4度C'!$A:$A,"新豐2線",'0719 4度C'!$B:$B,"平均")</f>
        <v>17.666666666666668</v>
      </c>
      <c r="F22" s="82">
        <f>SUMIFS('0719 4度C'!$I:$I,'0719 4度C'!$A:$A,"新豐5線",'0719 4度C'!$B:$B,"平均")</f>
        <v>18.285714285714285</v>
      </c>
      <c r="G22" s="82">
        <f>SUMIFS('0719 4度C'!$I:$I,'0719 4度C'!$A:$A,"新豐7線",'0719 4度C'!$B:$B,"平均")</f>
        <v>15.857142857142858</v>
      </c>
      <c r="H22" s="82">
        <f>SUMIFS('0719 4度C'!$I:$I,'0719 4度C'!$A:$A,"新豐3線",'0719 4度C'!$B:$B,"平均")</f>
        <v>9.75</v>
      </c>
      <c r="I22" s="82">
        <f>SUMIFS('0719 4度C'!$I:$I,'0719 4度C'!$A:$A,"新豐1線",'0719 4度C'!$B:$B,"平均")</f>
        <v>17</v>
      </c>
      <c r="J22" s="83">
        <f>SUMIFS('0719 4度C'!$I:$I,'0719 4度C'!$A:$A,"新豐10線",'0719 4度C'!$B:$B,"平均")</f>
        <v>9.75</v>
      </c>
      <c r="K22" s="81">
        <f>SUMIFS('0719 4度C'!$I:$I,'0719 4度C'!$A:$A,"新豐8線",'0719 4度C'!$B:$B,"平均")</f>
        <v>17.111111111111111</v>
      </c>
      <c r="L22" s="82">
        <f>SUMIFS('0719 4度C'!$I:$I,'0719 4度C'!$A:$A,"新豐9線",'0719 4度C'!$B:$B,"平均")</f>
        <v>17.5</v>
      </c>
      <c r="M22" s="83">
        <f>SUMIFS('0719 4度C'!$I:$I,'0719 4度C'!$A:$A,"新豐4線",'0719 4度C'!$B:$B,"平均")</f>
        <v>17.222222222222221</v>
      </c>
    </row>
    <row r="23" spans="2:13" ht="17.25" customHeight="1">
      <c r="B23" s="546" t="s">
        <v>1773</v>
      </c>
      <c r="C23" s="547"/>
      <c r="D23" s="84" t="s">
        <v>54</v>
      </c>
      <c r="E23" s="85" t="s">
        <v>55</v>
      </c>
      <c r="F23" s="85" t="s">
        <v>1774</v>
      </c>
      <c r="G23" s="85" t="s">
        <v>1774</v>
      </c>
      <c r="H23" s="85" t="s">
        <v>56</v>
      </c>
      <c r="I23" s="85" t="s">
        <v>54</v>
      </c>
      <c r="J23" s="86" t="s">
        <v>56</v>
      </c>
      <c r="K23" s="84" t="s">
        <v>1775</v>
      </c>
      <c r="L23" s="85" t="s">
        <v>1775</v>
      </c>
      <c r="M23" s="86" t="s">
        <v>1775</v>
      </c>
    </row>
    <row r="24" spans="2:13" ht="17.25" customHeight="1">
      <c r="B24" s="546" t="s">
        <v>1776</v>
      </c>
      <c r="C24" s="547"/>
      <c r="D24" s="84"/>
      <c r="E24" s="85"/>
      <c r="F24" s="85" t="s">
        <v>1777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1778</v>
      </c>
      <c r="C25" s="549"/>
      <c r="D25" s="87"/>
      <c r="E25" s="88" t="s">
        <v>1779</v>
      </c>
      <c r="F25" s="542" t="s">
        <v>1780</v>
      </c>
      <c r="G25" s="543"/>
      <c r="H25" s="88" t="s">
        <v>1781</v>
      </c>
      <c r="I25" s="88" t="s">
        <v>1782</v>
      </c>
      <c r="J25" s="89" t="s">
        <v>1781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8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0"/>
  <sheetViews>
    <sheetView zoomScale="80" zoomScaleNormal="80" workbookViewId="0">
      <pane ySplit="4" topLeftCell="A45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130</v>
      </c>
      <c r="D1" s="3">
        <f>SUM(F5:F79)</f>
        <v>201581</v>
      </c>
      <c r="E1" s="348" t="s">
        <v>131</v>
      </c>
      <c r="F1" s="1">
        <f>SUM(G5:G79)</f>
        <v>6862748.1400000006</v>
      </c>
      <c r="G1" s="1" t="s">
        <v>336</v>
      </c>
      <c r="H1" s="4">
        <f>L7+L14+L54+L64+L22+L69+L40+L49+L30+L79</f>
        <v>155.64285714285717</v>
      </c>
      <c r="I1" s="654" t="s">
        <v>1783</v>
      </c>
      <c r="J1" s="654"/>
      <c r="K1" s="654"/>
      <c r="L1" s="654" t="s">
        <v>426</v>
      </c>
      <c r="M1" s="654"/>
      <c r="N1" s="654"/>
      <c r="O1" s="654" t="s">
        <v>1784</v>
      </c>
      <c r="P1" s="654"/>
      <c r="Q1" s="654"/>
      <c r="R1" s="654"/>
      <c r="S1" s="654" t="s">
        <v>1785</v>
      </c>
      <c r="T1" s="654"/>
      <c r="U1" s="654"/>
      <c r="V1" s="654"/>
      <c r="W1" s="654"/>
      <c r="X1" s="654"/>
      <c r="Y1" s="5" t="s">
        <v>341</v>
      </c>
      <c r="Z1" s="6" t="s">
        <v>246</v>
      </c>
      <c r="AA1" s="655" t="s">
        <v>343</v>
      </c>
      <c r="AB1" s="655"/>
      <c r="AC1" s="92" t="s">
        <v>1786</v>
      </c>
      <c r="AD1" s="6" t="s">
        <v>1787</v>
      </c>
      <c r="AE1" s="654" t="s">
        <v>1788</v>
      </c>
      <c r="AF1" s="656"/>
      <c r="AG1" s="656"/>
    </row>
    <row r="2" spans="1:33" ht="26.25" customHeight="1">
      <c r="A2" s="25">
        <v>46222</v>
      </c>
      <c r="B2" s="26" t="s">
        <v>471</v>
      </c>
      <c r="C2" s="2" t="s">
        <v>1789</v>
      </c>
      <c r="D2" s="8">
        <f>AVERAGE(N7,N14,N54,N64,N22,N69,N30,N40,N49,N79)</f>
        <v>150.57266089083208</v>
      </c>
      <c r="E2" s="9" t="s">
        <v>0</v>
      </c>
      <c r="F2" s="10">
        <f>F1/D1</f>
        <v>34.044617994751491</v>
      </c>
      <c r="G2" s="1" t="s">
        <v>1790</v>
      </c>
      <c r="H2" s="358">
        <f>COUNT(H5:H79)</f>
        <v>14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SUM(Y7+Y14+Y22+Y30+Y40+Y49+Y54+Y64+Y69+Y79)</f>
        <v>0</v>
      </c>
      <c r="Z2" s="11">
        <f>SUM(Z7+Z14+Z22+Z30+Z40+Z49+Z54+Z64+Z69+Z79)</f>
        <v>0</v>
      </c>
      <c r="AA2" s="655"/>
      <c r="AB2" s="655"/>
      <c r="AC2" s="11">
        <v>65</v>
      </c>
      <c r="AD2" s="11">
        <f>SUM(AD7+AD14+AD22+AD30+AD40+AD49+AD54+AD64+AD69+AD79)</f>
        <v>0</v>
      </c>
      <c r="AE2" s="656"/>
      <c r="AF2" s="656"/>
      <c r="AG2" s="656"/>
    </row>
    <row r="3" spans="1:33" ht="40.5" customHeight="1">
      <c r="A3" s="612" t="s">
        <v>252</v>
      </c>
      <c r="B3" s="612" t="s">
        <v>1791</v>
      </c>
      <c r="C3" s="612" t="s">
        <v>1792</v>
      </c>
      <c r="D3" s="612"/>
      <c r="E3" s="652" t="s">
        <v>1793</v>
      </c>
      <c r="F3" s="612" t="s">
        <v>1794</v>
      </c>
      <c r="G3" s="652" t="s">
        <v>149</v>
      </c>
      <c r="H3" s="645" t="s">
        <v>1795</v>
      </c>
      <c r="I3" s="644" t="s">
        <v>78</v>
      </c>
      <c r="J3" s="641" t="s">
        <v>1796</v>
      </c>
      <c r="K3" s="650" t="s">
        <v>1797</v>
      </c>
      <c r="L3" s="644" t="s">
        <v>1798</v>
      </c>
      <c r="M3" s="641" t="s">
        <v>1799</v>
      </c>
      <c r="N3" s="650" t="s">
        <v>1789</v>
      </c>
      <c r="O3" s="644" t="s">
        <v>1800</v>
      </c>
      <c r="P3" s="650" t="s">
        <v>1789</v>
      </c>
      <c r="Q3" s="642" t="s">
        <v>1801</v>
      </c>
      <c r="R3" s="621" t="s">
        <v>1802</v>
      </c>
      <c r="S3" s="651" t="s">
        <v>1</v>
      </c>
      <c r="T3" s="651"/>
      <c r="U3" s="645" t="s">
        <v>2</v>
      </c>
      <c r="V3" s="645" t="s">
        <v>1803</v>
      </c>
      <c r="W3" s="612" t="s">
        <v>1804</v>
      </c>
      <c r="X3" s="612"/>
      <c r="Y3" s="646" t="s">
        <v>1805</v>
      </c>
      <c r="Z3" s="611"/>
      <c r="AA3" s="647" t="s">
        <v>1806</v>
      </c>
      <c r="AB3" s="648"/>
      <c r="AC3" s="646" t="s">
        <v>1807</v>
      </c>
      <c r="AD3" s="611"/>
      <c r="AE3" s="641" t="s">
        <v>1808</v>
      </c>
      <c r="AF3" s="642" t="s">
        <v>1801</v>
      </c>
      <c r="AG3" s="621" t="s">
        <v>1809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57" t="s">
        <v>3</v>
      </c>
      <c r="T4" s="357" t="s">
        <v>4</v>
      </c>
      <c r="U4" s="645"/>
      <c r="V4" s="645"/>
      <c r="W4" s="348" t="s">
        <v>1810</v>
      </c>
      <c r="X4" s="348" t="s">
        <v>1811</v>
      </c>
      <c r="Y4" s="347" t="s">
        <v>68</v>
      </c>
      <c r="Z4" s="347" t="s">
        <v>1812</v>
      </c>
      <c r="AA4" s="649"/>
      <c r="AB4" s="648"/>
      <c r="AC4" s="347" t="s">
        <v>1813</v>
      </c>
      <c r="AD4" s="347" t="s">
        <v>1814</v>
      </c>
      <c r="AE4" s="641"/>
      <c r="AF4" s="642"/>
      <c r="AG4" s="621"/>
    </row>
    <row r="5" spans="1:33">
      <c r="A5" s="643" t="s">
        <v>1815</v>
      </c>
      <c r="B5" s="27" t="s">
        <v>5</v>
      </c>
      <c r="C5" s="657" t="s">
        <v>14</v>
      </c>
      <c r="D5" s="657"/>
      <c r="E5" s="27">
        <v>50.92</v>
      </c>
      <c r="F5" s="357">
        <v>2511</v>
      </c>
      <c r="G5" s="348">
        <f t="shared" ref="G5:G6" si="0">E5*F5</f>
        <v>127860.12000000001</v>
      </c>
      <c r="H5" s="31" t="s">
        <v>40</v>
      </c>
      <c r="I5" s="355">
        <v>15</v>
      </c>
      <c r="J5" s="29">
        <v>2000</v>
      </c>
      <c r="K5" s="12">
        <f t="shared" ref="K5:K68" si="1">J5/I5</f>
        <v>133.33333333333334</v>
      </c>
      <c r="L5" s="355">
        <v>15</v>
      </c>
      <c r="M5" s="13">
        <f t="shared" ref="M5:M6" si="2">F5/V5*60</f>
        <v>1907.0886075949356</v>
      </c>
      <c r="N5" s="12">
        <f t="shared" ref="N5:N68" si="3">M5/L5</f>
        <v>127.13924050632905</v>
      </c>
      <c r="O5" s="14">
        <f t="shared" ref="O5:O68" si="4">L5-I5</f>
        <v>0</v>
      </c>
      <c r="P5" s="15">
        <f t="shared" ref="P5:P68" si="5">N5-K5</f>
        <v>-6.1940928270042974</v>
      </c>
      <c r="Q5" s="353">
        <f t="shared" ref="Q5:Q68" si="6">N5/K5</f>
        <v>0.9535443037974678</v>
      </c>
      <c r="R5" s="616">
        <f>Q7</f>
        <v>0.95553685778108677</v>
      </c>
      <c r="S5" s="32">
        <v>0.70833333333333337</v>
      </c>
      <c r="T5" s="32">
        <v>0.76319444444444451</v>
      </c>
      <c r="U5" s="348"/>
      <c r="V5" s="356">
        <f t="shared" ref="V5:V6" si="7">(T5-S5)*24*60</f>
        <v>79.000000000000043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63" si="8">M5-J5</f>
        <v>-92.911392405064362</v>
      </c>
      <c r="AF5" s="353">
        <f t="shared" ref="AF5:AF68" si="9">M5/J5</f>
        <v>0.9535443037974678</v>
      </c>
      <c r="AG5" s="616">
        <f>AF7</f>
        <v>0.95553685778108677</v>
      </c>
    </row>
    <row r="6" spans="1:33">
      <c r="A6" s="644" t="s">
        <v>1816</v>
      </c>
      <c r="B6" s="27" t="s">
        <v>5</v>
      </c>
      <c r="C6" s="657" t="s">
        <v>19</v>
      </c>
      <c r="D6" s="657"/>
      <c r="E6" s="27">
        <v>50.98</v>
      </c>
      <c r="F6" s="357">
        <v>2713</v>
      </c>
      <c r="G6" s="348">
        <f t="shared" si="0"/>
        <v>138308.74</v>
      </c>
      <c r="H6" s="31" t="s">
        <v>40</v>
      </c>
      <c r="I6" s="355">
        <v>16</v>
      </c>
      <c r="J6" s="29">
        <v>2000</v>
      </c>
      <c r="K6" s="12">
        <f t="shared" si="1"/>
        <v>125</v>
      </c>
      <c r="L6" s="355">
        <v>16</v>
      </c>
      <c r="M6" s="13">
        <f t="shared" si="2"/>
        <v>1915.0588235294113</v>
      </c>
      <c r="N6" s="12">
        <f t="shared" si="3"/>
        <v>119.6911764705882</v>
      </c>
      <c r="O6" s="14">
        <f t="shared" si="4"/>
        <v>0</v>
      </c>
      <c r="P6" s="15">
        <f t="shared" si="5"/>
        <v>-5.3088235294117965</v>
      </c>
      <c r="Q6" s="353">
        <f t="shared" si="6"/>
        <v>0.95752941176470563</v>
      </c>
      <c r="R6" s="616"/>
      <c r="S6" s="32">
        <v>0.76736111111111116</v>
      </c>
      <c r="T6" s="32">
        <v>0.82638888888888895</v>
      </c>
      <c r="U6" s="348">
        <f t="shared" ref="U6" si="10">IF(S6=TIME(17,0,0),"",(S6-T5)*24*60)</f>
        <v>5.9999999999999787</v>
      </c>
      <c r="V6" s="356">
        <f t="shared" si="7"/>
        <v>85.000000000000014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-84.941176470588744</v>
      </c>
      <c r="AF6" s="353">
        <f t="shared" si="9"/>
        <v>0.95752941176470563</v>
      </c>
      <c r="AG6" s="616"/>
    </row>
    <row r="7" spans="1:33">
      <c r="A7" s="644" t="s">
        <v>1815</v>
      </c>
      <c r="B7" s="27" t="s">
        <v>1817</v>
      </c>
      <c r="C7" s="658"/>
      <c r="D7" s="658"/>
      <c r="E7" s="354"/>
      <c r="F7" s="28"/>
      <c r="G7" s="12"/>
      <c r="H7" s="357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1911.0737155621734</v>
      </c>
      <c r="N7" s="12">
        <f t="shared" si="3"/>
        <v>123.29507842336604</v>
      </c>
      <c r="O7" s="14">
        <f t="shared" si="4"/>
        <v>0</v>
      </c>
      <c r="P7" s="15">
        <f t="shared" si="5"/>
        <v>-5.7371796411500924</v>
      </c>
      <c r="Q7" s="353">
        <f t="shared" si="6"/>
        <v>0.95553685778108677</v>
      </c>
      <c r="R7" s="616"/>
      <c r="S7" s="32"/>
      <c r="T7" s="32"/>
      <c r="U7" s="348"/>
      <c r="V7" s="356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-88.926284437826553</v>
      </c>
      <c r="AF7" s="353">
        <f t="shared" si="9"/>
        <v>0.95553685778108677</v>
      </c>
      <c r="AG7" s="616"/>
    </row>
    <row r="8" spans="1:33" ht="15.75" customHeight="1">
      <c r="A8" s="640" t="s">
        <v>1818</v>
      </c>
      <c r="B8" s="27" t="s">
        <v>8</v>
      </c>
      <c r="C8" s="638" t="s">
        <v>10</v>
      </c>
      <c r="D8" s="639"/>
      <c r="E8" s="27">
        <v>39.799999999999997</v>
      </c>
      <c r="F8" s="357">
        <v>4100</v>
      </c>
      <c r="G8" s="348">
        <f t="shared" ref="G8:G13" si="11">E8*F8</f>
        <v>163180</v>
      </c>
      <c r="H8" s="31">
        <v>2</v>
      </c>
      <c r="I8" s="355">
        <v>17</v>
      </c>
      <c r="J8" s="29">
        <v>1500</v>
      </c>
      <c r="K8" s="12">
        <f t="shared" si="1"/>
        <v>88.235294117647058</v>
      </c>
      <c r="L8" s="355">
        <v>17</v>
      </c>
      <c r="M8" s="13">
        <f t="shared" ref="M8:M13" si="12">F8/V8*60</f>
        <v>1430.2325581395351</v>
      </c>
      <c r="N8" s="12">
        <f t="shared" si="3"/>
        <v>84.131326949384416</v>
      </c>
      <c r="O8" s="14">
        <f t="shared" si="4"/>
        <v>0</v>
      </c>
      <c r="P8" s="15">
        <f t="shared" si="5"/>
        <v>-4.103967168262642</v>
      </c>
      <c r="Q8" s="353">
        <f t="shared" si="6"/>
        <v>0.9534883720930234</v>
      </c>
      <c r="R8" s="616">
        <f>Q14</f>
        <v>0.95380829974377446</v>
      </c>
      <c r="S8" s="32">
        <v>8.3333333333333329E-2</v>
      </c>
      <c r="T8" s="32">
        <v>0.20277777777777778</v>
      </c>
      <c r="U8" s="348"/>
      <c r="V8" s="356">
        <f t="shared" ref="V8:V13" si="13">(T8-S8)*24*60</f>
        <v>172</v>
      </c>
      <c r="W8" s="16">
        <f>T8</f>
        <v>0.20277777777777778</v>
      </c>
      <c r="X8" s="16">
        <f>S9</f>
        <v>0.22083333333333333</v>
      </c>
      <c r="Y8" s="16"/>
      <c r="Z8" s="16"/>
      <c r="AA8" s="612"/>
      <c r="AB8" s="612"/>
      <c r="AC8" s="18">
        <v>6</v>
      </c>
      <c r="AD8" s="18"/>
      <c r="AE8" s="14">
        <f t="shared" si="8"/>
        <v>-69.767441860464942</v>
      </c>
      <c r="AF8" s="353">
        <f t="shared" si="9"/>
        <v>0.9534883720930234</v>
      </c>
      <c r="AG8" s="616">
        <f>AF14</f>
        <v>0.95380829974377457</v>
      </c>
    </row>
    <row r="9" spans="1:33" ht="15.75" customHeight="1">
      <c r="A9" s="640" t="s">
        <v>175</v>
      </c>
      <c r="B9" s="27" t="s">
        <v>8</v>
      </c>
      <c r="C9" s="638" t="s">
        <v>63</v>
      </c>
      <c r="D9" s="639"/>
      <c r="E9" s="27">
        <v>39.46</v>
      </c>
      <c r="F9" s="357">
        <v>3729</v>
      </c>
      <c r="G9" s="348">
        <f t="shared" si="11"/>
        <v>147146.34</v>
      </c>
      <c r="H9" s="31" t="s">
        <v>40</v>
      </c>
      <c r="I9" s="355">
        <v>15</v>
      </c>
      <c r="J9" s="29">
        <v>1500</v>
      </c>
      <c r="K9" s="12">
        <f t="shared" si="1"/>
        <v>100</v>
      </c>
      <c r="L9" s="355">
        <v>15</v>
      </c>
      <c r="M9" s="13">
        <f t="shared" si="12"/>
        <v>1434.2307692307693</v>
      </c>
      <c r="N9" s="12">
        <f t="shared" si="3"/>
        <v>95.615384615384613</v>
      </c>
      <c r="O9" s="14">
        <f t="shared" si="4"/>
        <v>0</v>
      </c>
      <c r="P9" s="15">
        <f t="shared" si="5"/>
        <v>-4.3846153846153868</v>
      </c>
      <c r="Q9" s="353">
        <f t="shared" si="6"/>
        <v>0.95615384615384613</v>
      </c>
      <c r="R9" s="616"/>
      <c r="S9" s="32">
        <v>0.22083333333333333</v>
      </c>
      <c r="T9" s="32">
        <v>0.32916666666666666</v>
      </c>
      <c r="U9" s="348">
        <f t="shared" ref="U9:U13" si="14">IF(S9=TIME(17,0,0),"",(S9-T8)*24*60)</f>
        <v>25.999999999999986</v>
      </c>
      <c r="V9" s="356">
        <f t="shared" si="13"/>
        <v>156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-65.769230769230717</v>
      </c>
      <c r="AF9" s="353">
        <f t="shared" si="9"/>
        <v>0.95615384615384624</v>
      </c>
      <c r="AG9" s="616"/>
    </row>
    <row r="10" spans="1:33" ht="15.75" customHeight="1">
      <c r="A10" s="640" t="s">
        <v>175</v>
      </c>
      <c r="B10" s="27" t="s">
        <v>8</v>
      </c>
      <c r="C10" s="638" t="s">
        <v>74</v>
      </c>
      <c r="D10" s="639"/>
      <c r="E10" s="27">
        <v>39.520000000000003</v>
      </c>
      <c r="F10" s="357">
        <v>2908</v>
      </c>
      <c r="G10" s="348">
        <f t="shared" si="11"/>
        <v>114924.16</v>
      </c>
      <c r="H10" s="31" t="s">
        <v>40</v>
      </c>
      <c r="I10" s="355">
        <v>19</v>
      </c>
      <c r="J10" s="29">
        <v>1500</v>
      </c>
      <c r="K10" s="12">
        <f t="shared" si="1"/>
        <v>78.94736842105263</v>
      </c>
      <c r="L10" s="355">
        <v>19</v>
      </c>
      <c r="M10" s="13">
        <f t="shared" si="12"/>
        <v>1430.1639344262298</v>
      </c>
      <c r="N10" s="12">
        <f t="shared" si="3"/>
        <v>75.271786022433147</v>
      </c>
      <c r="O10" s="14">
        <f t="shared" si="4"/>
        <v>0</v>
      </c>
      <c r="P10" s="15">
        <f t="shared" si="5"/>
        <v>-3.6755823986194827</v>
      </c>
      <c r="Q10" s="353">
        <f t="shared" si="6"/>
        <v>0.95344262295081994</v>
      </c>
      <c r="R10" s="616"/>
      <c r="S10" s="32">
        <v>0.33263888888888887</v>
      </c>
      <c r="T10" s="32">
        <v>0.41736111111111107</v>
      </c>
      <c r="U10" s="348">
        <f t="shared" si="14"/>
        <v>4.9999999999999822</v>
      </c>
      <c r="V10" s="356">
        <f t="shared" si="13"/>
        <v>121.99999999999997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-69.836065573770156</v>
      </c>
      <c r="AF10" s="353">
        <f t="shared" si="9"/>
        <v>0.95344262295081994</v>
      </c>
      <c r="AG10" s="616"/>
    </row>
    <row r="11" spans="1:33" ht="15.75" customHeight="1">
      <c r="A11" s="640" t="s">
        <v>1818</v>
      </c>
      <c r="B11" s="27" t="s">
        <v>8</v>
      </c>
      <c r="C11" s="638" t="s">
        <v>9</v>
      </c>
      <c r="D11" s="639"/>
      <c r="E11" s="27">
        <v>39.619999999999997</v>
      </c>
      <c r="F11" s="357">
        <v>2800</v>
      </c>
      <c r="G11" s="348">
        <f t="shared" si="11"/>
        <v>110936</v>
      </c>
      <c r="H11" s="31">
        <v>2</v>
      </c>
      <c r="I11" s="355">
        <v>19</v>
      </c>
      <c r="J11" s="29">
        <v>1500</v>
      </c>
      <c r="K11" s="12">
        <f t="shared" si="1"/>
        <v>78.94736842105263</v>
      </c>
      <c r="L11" s="355">
        <v>19</v>
      </c>
      <c r="M11" s="13">
        <f t="shared" si="12"/>
        <v>1435.8974358974353</v>
      </c>
      <c r="N11" s="12">
        <f t="shared" si="3"/>
        <v>75.573549257759751</v>
      </c>
      <c r="O11" s="14">
        <f t="shared" si="4"/>
        <v>0</v>
      </c>
      <c r="P11" s="15">
        <f t="shared" si="5"/>
        <v>-3.3738191632928789</v>
      </c>
      <c r="Q11" s="353">
        <f t="shared" si="6"/>
        <v>0.95726495726495686</v>
      </c>
      <c r="R11" s="616"/>
      <c r="S11" s="32">
        <v>0.42152777777777772</v>
      </c>
      <c r="T11" s="32">
        <v>0.50277777777777777</v>
      </c>
      <c r="U11" s="348">
        <f t="shared" si="14"/>
        <v>5.9999999999999787</v>
      </c>
      <c r="V11" s="356">
        <f t="shared" si="13"/>
        <v>117.00000000000006</v>
      </c>
      <c r="W11" s="16">
        <f>T11</f>
        <v>0.50277777777777777</v>
      </c>
      <c r="X11" s="16">
        <f>S12</f>
        <v>0.54305555555555551</v>
      </c>
      <c r="Y11" s="16"/>
      <c r="Z11" s="16"/>
      <c r="AA11" s="607"/>
      <c r="AB11" s="608"/>
      <c r="AC11" s="18"/>
      <c r="AD11" s="18"/>
      <c r="AE11" s="14">
        <f t="shared" si="8"/>
        <v>-64.102564102564656</v>
      </c>
      <c r="AF11" s="353">
        <f t="shared" si="9"/>
        <v>0.95726495726495686</v>
      </c>
      <c r="AG11" s="616"/>
    </row>
    <row r="12" spans="1:33" ht="15.75" customHeight="1">
      <c r="A12" s="640" t="s">
        <v>1819</v>
      </c>
      <c r="B12" s="27" t="s">
        <v>8</v>
      </c>
      <c r="C12" s="638" t="s">
        <v>10</v>
      </c>
      <c r="D12" s="639"/>
      <c r="E12" s="27">
        <v>39.799999999999997</v>
      </c>
      <c r="F12" s="357">
        <v>3423</v>
      </c>
      <c r="G12" s="348">
        <f t="shared" si="11"/>
        <v>136235.4</v>
      </c>
      <c r="H12" s="31" t="s">
        <v>40</v>
      </c>
      <c r="I12" s="355">
        <v>17</v>
      </c>
      <c r="J12" s="29">
        <v>1500</v>
      </c>
      <c r="K12" s="12">
        <f t="shared" si="1"/>
        <v>88.235294117647058</v>
      </c>
      <c r="L12" s="355">
        <v>17</v>
      </c>
      <c r="M12" s="13">
        <f t="shared" si="12"/>
        <v>1426.2500000000005</v>
      </c>
      <c r="N12" s="12">
        <f t="shared" si="3"/>
        <v>83.897058823529434</v>
      </c>
      <c r="O12" s="14">
        <f t="shared" si="4"/>
        <v>0</v>
      </c>
      <c r="P12" s="15">
        <f t="shared" si="5"/>
        <v>-4.3382352941176237</v>
      </c>
      <c r="Q12" s="353">
        <f t="shared" si="6"/>
        <v>0.95083333333333364</v>
      </c>
      <c r="R12" s="616"/>
      <c r="S12" s="32">
        <v>0.54305555555555551</v>
      </c>
      <c r="T12" s="32">
        <v>0.64305555555555549</v>
      </c>
      <c r="U12" s="348">
        <f t="shared" si="14"/>
        <v>57.999999999999957</v>
      </c>
      <c r="V12" s="356">
        <f t="shared" si="13"/>
        <v>143.99999999999997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-73.749999999999545</v>
      </c>
      <c r="AF12" s="353">
        <f t="shared" si="9"/>
        <v>0.95083333333333364</v>
      </c>
      <c r="AG12" s="616"/>
    </row>
    <row r="13" spans="1:33" ht="15.75" customHeight="1">
      <c r="A13" s="640" t="s">
        <v>1820</v>
      </c>
      <c r="B13" s="27" t="s">
        <v>8</v>
      </c>
      <c r="C13" s="638" t="s">
        <v>9</v>
      </c>
      <c r="D13" s="639"/>
      <c r="E13" s="27">
        <v>39.619999999999997</v>
      </c>
      <c r="F13" s="357">
        <v>2284</v>
      </c>
      <c r="G13" s="348">
        <f t="shared" si="11"/>
        <v>90492.079999999987</v>
      </c>
      <c r="H13" s="31" t="s">
        <v>40</v>
      </c>
      <c r="I13" s="355">
        <v>19</v>
      </c>
      <c r="J13" s="29">
        <v>1500</v>
      </c>
      <c r="K13" s="12">
        <f t="shared" si="1"/>
        <v>78.94736842105263</v>
      </c>
      <c r="L13" s="355">
        <v>19</v>
      </c>
      <c r="M13" s="13">
        <f t="shared" si="12"/>
        <v>1427.5000000000005</v>
      </c>
      <c r="N13" s="12">
        <f t="shared" si="3"/>
        <v>75.131578947368439</v>
      </c>
      <c r="O13" s="14">
        <f t="shared" si="4"/>
        <v>0</v>
      </c>
      <c r="P13" s="15">
        <f t="shared" si="5"/>
        <v>-3.8157894736841911</v>
      </c>
      <c r="Q13" s="353">
        <f t="shared" si="6"/>
        <v>0.95166666666666688</v>
      </c>
      <c r="R13" s="616"/>
      <c r="S13" s="32">
        <v>0.64791666666666659</v>
      </c>
      <c r="T13" s="32">
        <v>0.71458333333333324</v>
      </c>
      <c r="U13" s="348">
        <f t="shared" si="14"/>
        <v>6.9999999999999751</v>
      </c>
      <c r="V13" s="356">
        <f t="shared" si="13"/>
        <v>95.999999999999972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-72.499999999999545</v>
      </c>
      <c r="AF13" s="353">
        <f t="shared" si="9"/>
        <v>0.95166666666666699</v>
      </c>
      <c r="AG13" s="616"/>
    </row>
    <row r="14" spans="1:33" ht="16.5" customHeight="1">
      <c r="A14" s="640" t="s">
        <v>175</v>
      </c>
      <c r="B14" s="27" t="s">
        <v>70</v>
      </c>
      <c r="C14" s="658"/>
      <c r="D14" s="658"/>
      <c r="E14" s="354"/>
      <c r="F14" s="29"/>
      <c r="G14" s="13"/>
      <c r="H14" s="357"/>
      <c r="I14" s="21">
        <v>17.666666666666668</v>
      </c>
      <c r="J14" s="29">
        <v>1500</v>
      </c>
      <c r="K14" s="12">
        <f t="shared" si="1"/>
        <v>84.905660377358487</v>
      </c>
      <c r="L14" s="21">
        <v>17.666666666666668</v>
      </c>
      <c r="M14" s="13">
        <f>AVERAGE(M8:M13)</f>
        <v>1430.7124496156619</v>
      </c>
      <c r="N14" s="12">
        <f t="shared" si="3"/>
        <v>80.983723563150662</v>
      </c>
      <c r="O14" s="14">
        <f t="shared" si="4"/>
        <v>0</v>
      </c>
      <c r="P14" s="15">
        <f t="shared" si="5"/>
        <v>-3.9219368142078253</v>
      </c>
      <c r="Q14" s="353">
        <f t="shared" si="6"/>
        <v>0.95380829974377446</v>
      </c>
      <c r="R14" s="616"/>
      <c r="S14" s="32"/>
      <c r="T14" s="32"/>
      <c r="U14" s="12"/>
      <c r="V14" s="356"/>
      <c r="W14" s="12"/>
      <c r="X14" s="12"/>
      <c r="Y14" s="22">
        <f>SUM(Y8:Y13)</f>
        <v>0</v>
      </c>
      <c r="Z14" s="22">
        <f>SUM(Z8:Z13)</f>
        <v>0</v>
      </c>
      <c r="AA14" s="611"/>
      <c r="AB14" s="611"/>
      <c r="AC14" s="22">
        <v>6</v>
      </c>
      <c r="AD14" s="22">
        <f>SUM(AD8:AD13)</f>
        <v>0</v>
      </c>
      <c r="AE14" s="14">
        <f t="shared" si="8"/>
        <v>-69.287550384338147</v>
      </c>
      <c r="AF14" s="353">
        <f t="shared" si="9"/>
        <v>0.95380829974377457</v>
      </c>
      <c r="AG14" s="616"/>
    </row>
    <row r="15" spans="1:33" ht="16.5" customHeight="1">
      <c r="A15" s="636" t="s">
        <v>278</v>
      </c>
      <c r="B15" s="357" t="s">
        <v>1134</v>
      </c>
      <c r="C15" s="659" t="s">
        <v>1035</v>
      </c>
      <c r="D15" s="659"/>
      <c r="E15" s="27">
        <v>31.11</v>
      </c>
      <c r="F15" s="357">
        <v>4198</v>
      </c>
      <c r="G15" s="348">
        <f t="shared" ref="G15:G21" si="15">E15*F15</f>
        <v>130599.78</v>
      </c>
      <c r="H15" s="31" t="s">
        <v>40</v>
      </c>
      <c r="I15" s="355">
        <v>14</v>
      </c>
      <c r="J15" s="29">
        <v>2000</v>
      </c>
      <c r="K15" s="12">
        <f t="shared" si="1"/>
        <v>142.85714285714286</v>
      </c>
      <c r="L15" s="355">
        <v>14</v>
      </c>
      <c r="M15" s="13">
        <f t="shared" ref="M15:M21" si="16">F15/V15*60</f>
        <v>1908.1818181818187</v>
      </c>
      <c r="N15" s="12">
        <f t="shared" si="3"/>
        <v>136.29870129870133</v>
      </c>
      <c r="O15" s="14">
        <f t="shared" si="4"/>
        <v>0</v>
      </c>
      <c r="P15" s="15">
        <f t="shared" si="5"/>
        <v>-6.5584415584415297</v>
      </c>
      <c r="Q15" s="353">
        <f t="shared" si="6"/>
        <v>0.95409090909090932</v>
      </c>
      <c r="R15" s="616">
        <f>Q22</f>
        <v>0.9555599565570102</v>
      </c>
      <c r="S15" s="32">
        <v>8.3333333333333329E-2</v>
      </c>
      <c r="T15" s="32">
        <v>0.17499999999999999</v>
      </c>
      <c r="U15" s="348"/>
      <c r="V15" s="356">
        <f t="shared" ref="V15:V21" si="17">(T15-S15)*24*60</f>
        <v>131.99999999999997</v>
      </c>
      <c r="W15" s="16">
        <f>T15</f>
        <v>0.17499999999999999</v>
      </c>
      <c r="X15" s="16">
        <f>S16</f>
        <v>0.19513888888888889</v>
      </c>
      <c r="Y15" s="20"/>
      <c r="Z15" s="20"/>
      <c r="AA15" s="612"/>
      <c r="AB15" s="612"/>
      <c r="AC15" s="18">
        <v>7</v>
      </c>
      <c r="AD15" s="18"/>
      <c r="AE15" s="14">
        <f t="shared" si="8"/>
        <v>-91.818181818181301</v>
      </c>
      <c r="AF15" s="353">
        <f t="shared" si="9"/>
        <v>0.95409090909090932</v>
      </c>
      <c r="AG15" s="616">
        <f>AF22</f>
        <v>0.95555995655701031</v>
      </c>
    </row>
    <row r="16" spans="1:33" ht="16.5" customHeight="1">
      <c r="A16" s="637" t="s">
        <v>1821</v>
      </c>
      <c r="B16" s="357" t="s">
        <v>1134</v>
      </c>
      <c r="C16" s="659" t="s">
        <v>1036</v>
      </c>
      <c r="D16" s="659"/>
      <c r="E16" s="27">
        <v>38.99</v>
      </c>
      <c r="F16" s="357">
        <v>1523</v>
      </c>
      <c r="G16" s="348">
        <f t="shared" si="15"/>
        <v>59381.770000000004</v>
      </c>
      <c r="H16" s="31" t="s">
        <v>40</v>
      </c>
      <c r="I16" s="355">
        <v>14</v>
      </c>
      <c r="J16" s="29">
        <v>2000</v>
      </c>
      <c r="K16" s="12">
        <f t="shared" si="1"/>
        <v>142.85714285714286</v>
      </c>
      <c r="L16" s="355">
        <v>14</v>
      </c>
      <c r="M16" s="13">
        <f t="shared" si="16"/>
        <v>1903.7500000000005</v>
      </c>
      <c r="N16" s="12">
        <f t="shared" si="3"/>
        <v>135.98214285714289</v>
      </c>
      <c r="O16" s="14">
        <f t="shared" si="4"/>
        <v>0</v>
      </c>
      <c r="P16" s="15">
        <f t="shared" si="5"/>
        <v>-6.8749999999999716</v>
      </c>
      <c r="Q16" s="353">
        <f t="shared" si="6"/>
        <v>0.95187500000000025</v>
      </c>
      <c r="R16" s="616"/>
      <c r="S16" s="32">
        <v>0.19513888888888889</v>
      </c>
      <c r="T16" s="32">
        <v>0.22847222222222222</v>
      </c>
      <c r="U16" s="348">
        <f t="shared" ref="U16:U21" si="18">IF(S16=TIME(17,0,0),"",(S16-T15)*24*60)</f>
        <v>29.000000000000018</v>
      </c>
      <c r="V16" s="356">
        <f t="shared" si="17"/>
        <v>47.999999999999986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-96.249999999999545</v>
      </c>
      <c r="AF16" s="353">
        <f t="shared" si="9"/>
        <v>0.95187500000000025</v>
      </c>
      <c r="AG16" s="616"/>
    </row>
    <row r="17" spans="1:33" ht="16.5" customHeight="1">
      <c r="A17" s="637" t="s">
        <v>1821</v>
      </c>
      <c r="B17" s="357" t="s">
        <v>11</v>
      </c>
      <c r="C17" s="659" t="s">
        <v>67</v>
      </c>
      <c r="D17" s="659"/>
      <c r="E17" s="27">
        <v>38.619999999999997</v>
      </c>
      <c r="F17" s="357">
        <v>2397</v>
      </c>
      <c r="G17" s="348">
        <f t="shared" si="15"/>
        <v>92572.14</v>
      </c>
      <c r="H17" s="31" t="s">
        <v>40</v>
      </c>
      <c r="I17" s="355">
        <v>24</v>
      </c>
      <c r="J17" s="29">
        <v>1500</v>
      </c>
      <c r="K17" s="12">
        <f t="shared" si="1"/>
        <v>62.5</v>
      </c>
      <c r="L17" s="355">
        <v>24</v>
      </c>
      <c r="M17" s="13">
        <f t="shared" si="16"/>
        <v>1438.1999999999994</v>
      </c>
      <c r="N17" s="12">
        <f t="shared" si="3"/>
        <v>59.924999999999976</v>
      </c>
      <c r="O17" s="14">
        <f t="shared" si="4"/>
        <v>0</v>
      </c>
      <c r="P17" s="15">
        <f t="shared" si="5"/>
        <v>-2.5750000000000242</v>
      </c>
      <c r="Q17" s="353">
        <f t="shared" si="6"/>
        <v>0.95879999999999965</v>
      </c>
      <c r="R17" s="616"/>
      <c r="S17" s="32">
        <v>0.23333333333333334</v>
      </c>
      <c r="T17" s="32">
        <v>0.30277777777777781</v>
      </c>
      <c r="U17" s="348">
        <f t="shared" si="18"/>
        <v>7.0000000000000151</v>
      </c>
      <c r="V17" s="356">
        <f t="shared" si="17"/>
        <v>100.00000000000004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-61.800000000000637</v>
      </c>
      <c r="AF17" s="353">
        <f t="shared" si="9"/>
        <v>0.95879999999999954</v>
      </c>
      <c r="AG17" s="616"/>
    </row>
    <row r="18" spans="1:33" ht="16.5" customHeight="1">
      <c r="A18" s="637" t="s">
        <v>1822</v>
      </c>
      <c r="B18" s="357" t="s">
        <v>11</v>
      </c>
      <c r="C18" s="659" t="s">
        <v>12</v>
      </c>
      <c r="D18" s="659"/>
      <c r="E18" s="27">
        <v>41</v>
      </c>
      <c r="F18" s="357">
        <v>2003</v>
      </c>
      <c r="G18" s="348">
        <f t="shared" si="15"/>
        <v>82123</v>
      </c>
      <c r="H18" s="31" t="s">
        <v>40</v>
      </c>
      <c r="I18" s="355">
        <v>26</v>
      </c>
      <c r="J18" s="29">
        <v>1500</v>
      </c>
      <c r="K18" s="12">
        <f t="shared" si="1"/>
        <v>57.692307692307693</v>
      </c>
      <c r="L18" s="355">
        <v>26</v>
      </c>
      <c r="M18" s="13">
        <f t="shared" si="16"/>
        <v>1430.7142857142853</v>
      </c>
      <c r="N18" s="12">
        <f t="shared" si="3"/>
        <v>55.027472527472511</v>
      </c>
      <c r="O18" s="14">
        <f t="shared" si="4"/>
        <v>0</v>
      </c>
      <c r="P18" s="15">
        <f t="shared" si="5"/>
        <v>-2.664835164835182</v>
      </c>
      <c r="Q18" s="353">
        <f t="shared" si="6"/>
        <v>0.95380952380952355</v>
      </c>
      <c r="R18" s="616"/>
      <c r="S18" s="32">
        <v>0.30625000000000002</v>
      </c>
      <c r="T18" s="32">
        <v>0.36458333333333337</v>
      </c>
      <c r="U18" s="348">
        <f t="shared" si="18"/>
        <v>4.9999999999999822</v>
      </c>
      <c r="V18" s="356">
        <f t="shared" si="17"/>
        <v>84.000000000000028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-69.285714285714675</v>
      </c>
      <c r="AF18" s="353">
        <f t="shared" si="9"/>
        <v>0.95380952380952355</v>
      </c>
      <c r="AG18" s="616"/>
    </row>
    <row r="19" spans="1:33" ht="16.5" customHeight="1">
      <c r="A19" s="637" t="s">
        <v>1823</v>
      </c>
      <c r="B19" s="357" t="s">
        <v>5</v>
      </c>
      <c r="C19" s="659" t="s">
        <v>66</v>
      </c>
      <c r="D19" s="659"/>
      <c r="E19" s="27">
        <v>37.03</v>
      </c>
      <c r="F19" s="357">
        <v>3477</v>
      </c>
      <c r="G19" s="348">
        <f t="shared" si="15"/>
        <v>128753.31</v>
      </c>
      <c r="H19" s="31" t="s">
        <v>40</v>
      </c>
      <c r="I19" s="355">
        <v>13</v>
      </c>
      <c r="J19" s="29">
        <v>1500</v>
      </c>
      <c r="K19" s="12">
        <f t="shared" si="1"/>
        <v>115.38461538461539</v>
      </c>
      <c r="L19" s="355">
        <v>13</v>
      </c>
      <c r="M19" s="13">
        <f t="shared" si="16"/>
        <v>1438.7586206896556</v>
      </c>
      <c r="N19" s="12">
        <f t="shared" si="3"/>
        <v>110.67374005305042</v>
      </c>
      <c r="O19" s="14">
        <f t="shared" si="4"/>
        <v>0</v>
      </c>
      <c r="P19" s="15">
        <f t="shared" si="5"/>
        <v>-4.7108753315649636</v>
      </c>
      <c r="Q19" s="353">
        <f t="shared" si="6"/>
        <v>0.9591724137931037</v>
      </c>
      <c r="R19" s="616"/>
      <c r="S19" s="32">
        <v>0.36805555555555558</v>
      </c>
      <c r="T19" s="32">
        <v>0.46875</v>
      </c>
      <c r="U19" s="348">
        <f t="shared" si="18"/>
        <v>4.9999999999999822</v>
      </c>
      <c r="V19" s="356">
        <f t="shared" si="17"/>
        <v>144.99999999999997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-61.241379310344428</v>
      </c>
      <c r="AF19" s="353">
        <f t="shared" si="9"/>
        <v>0.9591724137931037</v>
      </c>
      <c r="AG19" s="616"/>
    </row>
    <row r="20" spans="1:33" ht="16.5" customHeight="1">
      <c r="A20" s="637" t="s">
        <v>1823</v>
      </c>
      <c r="B20" s="357" t="s">
        <v>5</v>
      </c>
      <c r="C20" s="359" t="s">
        <v>6</v>
      </c>
      <c r="D20" s="360"/>
      <c r="E20" s="27">
        <v>50.67</v>
      </c>
      <c r="F20" s="357">
        <v>1914</v>
      </c>
      <c r="G20" s="348">
        <f t="shared" si="15"/>
        <v>96982.38</v>
      </c>
      <c r="H20" s="31" t="s">
        <v>40</v>
      </c>
      <c r="I20" s="355">
        <v>17</v>
      </c>
      <c r="J20" s="29">
        <v>2000</v>
      </c>
      <c r="K20" s="12">
        <f t="shared" si="1"/>
        <v>117.64705882352941</v>
      </c>
      <c r="L20" s="355">
        <v>17</v>
      </c>
      <c r="M20" s="13">
        <f t="shared" si="16"/>
        <v>1914.0000000000018</v>
      </c>
      <c r="N20" s="12">
        <f t="shared" si="3"/>
        <v>112.58823529411775</v>
      </c>
      <c r="O20" s="14">
        <f t="shared" si="4"/>
        <v>0</v>
      </c>
      <c r="P20" s="15">
        <f t="shared" si="5"/>
        <v>-5.0588235294116544</v>
      </c>
      <c r="Q20" s="353">
        <f t="shared" si="6"/>
        <v>0.95700000000000096</v>
      </c>
      <c r="R20" s="616"/>
      <c r="S20" s="32">
        <v>0.70833333333333337</v>
      </c>
      <c r="T20" s="32">
        <v>0.75</v>
      </c>
      <c r="U20" s="348" t="str">
        <f t="shared" si="18"/>
        <v/>
      </c>
      <c r="V20" s="356">
        <f t="shared" si="17"/>
        <v>59.999999999999943</v>
      </c>
      <c r="W20" s="16"/>
      <c r="X20" s="16"/>
      <c r="Y20" s="19"/>
      <c r="Z20" s="19"/>
      <c r="AA20" s="351"/>
      <c r="AB20" s="352"/>
      <c r="AC20" s="18"/>
      <c r="AD20" s="18"/>
      <c r="AE20" s="14">
        <f t="shared" si="8"/>
        <v>-85.999999999998181</v>
      </c>
      <c r="AF20" s="353">
        <f t="shared" si="9"/>
        <v>0.95700000000000096</v>
      </c>
      <c r="AG20" s="616"/>
    </row>
    <row r="21" spans="1:33" ht="16.5" customHeight="1">
      <c r="A21" s="637" t="s">
        <v>1824</v>
      </c>
      <c r="B21" s="357" t="s">
        <v>5</v>
      </c>
      <c r="C21" s="359" t="s">
        <v>615</v>
      </c>
      <c r="D21" s="360"/>
      <c r="E21" s="27">
        <v>54.5</v>
      </c>
      <c r="F21" s="357">
        <v>2914</v>
      </c>
      <c r="G21" s="348">
        <f t="shared" si="15"/>
        <v>158813</v>
      </c>
      <c r="H21" s="31" t="s">
        <v>40</v>
      </c>
      <c r="I21" s="355">
        <v>20</v>
      </c>
      <c r="J21" s="29">
        <v>1500</v>
      </c>
      <c r="K21" s="12">
        <f t="shared" si="1"/>
        <v>75</v>
      </c>
      <c r="L21" s="355">
        <v>20</v>
      </c>
      <c r="M21" s="13">
        <f t="shared" si="16"/>
        <v>1433.1147540983602</v>
      </c>
      <c r="N21" s="12">
        <f t="shared" si="3"/>
        <v>71.65573770491801</v>
      </c>
      <c r="O21" s="14">
        <f t="shared" si="4"/>
        <v>0</v>
      </c>
      <c r="P21" s="15">
        <f t="shared" si="5"/>
        <v>-3.3442622950819896</v>
      </c>
      <c r="Q21" s="353">
        <f t="shared" si="6"/>
        <v>0.9554098360655735</v>
      </c>
      <c r="R21" s="616"/>
      <c r="S21" s="32">
        <v>0.75486111111111109</v>
      </c>
      <c r="T21" s="32">
        <v>0.83958333333333335</v>
      </c>
      <c r="U21" s="348">
        <f t="shared" si="18"/>
        <v>6.9999999999999751</v>
      </c>
      <c r="V21" s="356">
        <f t="shared" si="17"/>
        <v>122.00000000000004</v>
      </c>
      <c r="W21" s="16"/>
      <c r="X21" s="16"/>
      <c r="Y21" s="19"/>
      <c r="Z21" s="19"/>
      <c r="AA21" s="351"/>
      <c r="AB21" s="352"/>
      <c r="AC21" s="18"/>
      <c r="AD21" s="18"/>
      <c r="AE21" s="14">
        <f t="shared" si="8"/>
        <v>-66.885245901639792</v>
      </c>
      <c r="AF21" s="353">
        <f t="shared" si="9"/>
        <v>0.9554098360655735</v>
      </c>
      <c r="AG21" s="616"/>
    </row>
    <row r="22" spans="1:33" ht="16.5" customHeight="1">
      <c r="A22" s="637" t="s">
        <v>1825</v>
      </c>
      <c r="B22" s="27" t="s">
        <v>1826</v>
      </c>
      <c r="C22" s="658"/>
      <c r="D22" s="658"/>
      <c r="E22" s="354"/>
      <c r="F22" s="28"/>
      <c r="G22" s="12"/>
      <c r="H22" s="357"/>
      <c r="I22" s="21">
        <v>18.285714285714285</v>
      </c>
      <c r="J22" s="29">
        <v>1714.2857142857142</v>
      </c>
      <c r="K22" s="12">
        <f t="shared" si="1"/>
        <v>93.75</v>
      </c>
      <c r="L22" s="21">
        <v>18.285714285714285</v>
      </c>
      <c r="M22" s="13">
        <f>AVERAGE(M15:M21)</f>
        <v>1638.1027826691604</v>
      </c>
      <c r="N22" s="12">
        <f t="shared" si="3"/>
        <v>89.583745927219709</v>
      </c>
      <c r="O22" s="14">
        <f t="shared" si="4"/>
        <v>0</v>
      </c>
      <c r="P22" s="15">
        <f t="shared" si="5"/>
        <v>-4.1662540727802906</v>
      </c>
      <c r="Q22" s="353">
        <f t="shared" si="6"/>
        <v>0.9555599565570102</v>
      </c>
      <c r="R22" s="616"/>
      <c r="S22" s="32"/>
      <c r="T22" s="32"/>
      <c r="U22" s="348"/>
      <c r="V22" s="356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-76.182931616553788</v>
      </c>
      <c r="AF22" s="353">
        <f t="shared" si="9"/>
        <v>0.95555995655701031</v>
      </c>
      <c r="AG22" s="616"/>
    </row>
    <row r="23" spans="1:33" ht="15.75" customHeight="1">
      <c r="A23" s="634" t="s">
        <v>1827</v>
      </c>
      <c r="B23" s="27" t="s">
        <v>5</v>
      </c>
      <c r="C23" s="659" t="s">
        <v>16</v>
      </c>
      <c r="D23" s="659"/>
      <c r="E23" s="27">
        <v>50.67</v>
      </c>
      <c r="F23" s="357">
        <v>2605</v>
      </c>
      <c r="G23" s="348">
        <f t="shared" ref="G23:G29" si="19">E23*F23</f>
        <v>131995.35</v>
      </c>
      <c r="H23" s="31" t="s">
        <v>40</v>
      </c>
      <c r="I23" s="355">
        <v>17</v>
      </c>
      <c r="J23" s="29">
        <v>2000</v>
      </c>
      <c r="K23" s="12">
        <f t="shared" si="1"/>
        <v>117.64705882352941</v>
      </c>
      <c r="L23" s="355">
        <v>17</v>
      </c>
      <c r="M23" s="13">
        <f t="shared" ref="M23:M29" si="20">F23/V23*60</f>
        <v>1906.0975609756101</v>
      </c>
      <c r="N23" s="12">
        <f t="shared" si="3"/>
        <v>112.12338593974177</v>
      </c>
      <c r="O23" s="14">
        <f t="shared" si="4"/>
        <v>0</v>
      </c>
      <c r="P23" s="15">
        <f t="shared" si="5"/>
        <v>-5.5236728837876399</v>
      </c>
      <c r="Q23" s="353">
        <f t="shared" si="6"/>
        <v>0.95304878048780506</v>
      </c>
      <c r="R23" s="616">
        <f>Q30</f>
        <v>0.95758137143792155</v>
      </c>
      <c r="S23" s="32">
        <v>0.20833333333333334</v>
      </c>
      <c r="T23" s="32">
        <v>0.26527777777777778</v>
      </c>
      <c r="U23" s="348"/>
      <c r="V23" s="356">
        <f t="shared" ref="V23:V29" si="21">(T23-S23)*24*60</f>
        <v>81.999999999999986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-93.902439024389878</v>
      </c>
      <c r="AF23" s="353">
        <f t="shared" si="9"/>
        <v>0.95304878048780506</v>
      </c>
      <c r="AG23" s="616">
        <f>AF30</f>
        <v>0.95758137143792155</v>
      </c>
    </row>
    <row r="24" spans="1:33" ht="15.75" customHeight="1">
      <c r="A24" s="635" t="s">
        <v>1827</v>
      </c>
      <c r="B24" s="27" t="s">
        <v>5</v>
      </c>
      <c r="C24" s="659" t="s">
        <v>17</v>
      </c>
      <c r="D24" s="659"/>
      <c r="E24" s="27">
        <v>57.73</v>
      </c>
      <c r="F24" s="357">
        <v>3128</v>
      </c>
      <c r="G24" s="348">
        <f t="shared" si="19"/>
        <v>180579.44</v>
      </c>
      <c r="H24" s="31" t="s">
        <v>40</v>
      </c>
      <c r="I24" s="355">
        <v>14</v>
      </c>
      <c r="J24" s="29">
        <v>2000</v>
      </c>
      <c r="K24" s="12">
        <f t="shared" si="1"/>
        <v>142.85714285714286</v>
      </c>
      <c r="L24" s="355">
        <v>14</v>
      </c>
      <c r="M24" s="13">
        <f t="shared" si="20"/>
        <v>1915.102040816327</v>
      </c>
      <c r="N24" s="12">
        <f t="shared" si="3"/>
        <v>136.79300291545192</v>
      </c>
      <c r="O24" s="14">
        <f t="shared" si="4"/>
        <v>0</v>
      </c>
      <c r="P24" s="15">
        <f t="shared" si="5"/>
        <v>-6.0641399416909394</v>
      </c>
      <c r="Q24" s="353">
        <f t="shared" si="6"/>
        <v>0.95755102040816342</v>
      </c>
      <c r="R24" s="616"/>
      <c r="S24" s="32">
        <v>0.27013888888888887</v>
      </c>
      <c r="T24" s="32">
        <v>0.33819444444444441</v>
      </c>
      <c r="U24" s="348">
        <f t="shared" ref="U24:U29" si="22">IF(S24=TIME(17,0,0),"",(S24-T23)*24*60)</f>
        <v>6.9999999999999751</v>
      </c>
      <c r="V24" s="356">
        <f t="shared" si="21"/>
        <v>97.999999999999972</v>
      </c>
      <c r="W24" s="16"/>
      <c r="X24" s="348"/>
      <c r="Y24" s="348"/>
      <c r="Z24" s="348"/>
      <c r="AA24" s="612"/>
      <c r="AB24" s="612"/>
      <c r="AC24" s="18"/>
      <c r="AD24" s="18"/>
      <c r="AE24" s="14">
        <f t="shared" si="8"/>
        <v>-84.897959183673038</v>
      </c>
      <c r="AF24" s="353">
        <f t="shared" si="9"/>
        <v>0.95755102040816353</v>
      </c>
      <c r="AG24" s="616"/>
    </row>
    <row r="25" spans="1:33" ht="15.75" customHeight="1">
      <c r="A25" s="635" t="s">
        <v>1828</v>
      </c>
      <c r="B25" s="27" t="s">
        <v>5</v>
      </c>
      <c r="C25" s="659" t="s">
        <v>60</v>
      </c>
      <c r="D25" s="659"/>
      <c r="E25" s="27">
        <v>53.27</v>
      </c>
      <c r="F25" s="357">
        <v>2258</v>
      </c>
      <c r="G25" s="348">
        <f t="shared" si="19"/>
        <v>120283.66</v>
      </c>
      <c r="H25" s="31" t="s">
        <v>40</v>
      </c>
      <c r="I25" s="355">
        <v>16</v>
      </c>
      <c r="J25" s="29">
        <v>2000</v>
      </c>
      <c r="K25" s="12">
        <f t="shared" si="1"/>
        <v>125</v>
      </c>
      <c r="L25" s="355">
        <v>16</v>
      </c>
      <c r="M25" s="13">
        <f t="shared" si="20"/>
        <v>1908.1690140845074</v>
      </c>
      <c r="N25" s="12">
        <f t="shared" si="3"/>
        <v>119.26056338028171</v>
      </c>
      <c r="O25" s="14">
        <f t="shared" si="4"/>
        <v>0</v>
      </c>
      <c r="P25" s="15">
        <f t="shared" si="5"/>
        <v>-5.7394366197182904</v>
      </c>
      <c r="Q25" s="353">
        <f t="shared" si="6"/>
        <v>0.95408450704225367</v>
      </c>
      <c r="R25" s="616"/>
      <c r="S25" s="32">
        <v>0.34374999999999994</v>
      </c>
      <c r="T25" s="32">
        <v>0.39305555555555549</v>
      </c>
      <c r="U25" s="348">
        <f t="shared" si="22"/>
        <v>7.9999999999999716</v>
      </c>
      <c r="V25" s="356">
        <f t="shared" si="21"/>
        <v>70.999999999999986</v>
      </c>
      <c r="W25" s="16"/>
      <c r="X25" s="348"/>
      <c r="Y25" s="348"/>
      <c r="Z25" s="348"/>
      <c r="AA25" s="612"/>
      <c r="AB25" s="612"/>
      <c r="AC25" s="18"/>
      <c r="AD25" s="18"/>
      <c r="AE25" s="14">
        <f t="shared" si="8"/>
        <v>-91.830985915492647</v>
      </c>
      <c r="AF25" s="353">
        <f t="shared" si="9"/>
        <v>0.95408450704225367</v>
      </c>
      <c r="AG25" s="616"/>
    </row>
    <row r="26" spans="1:33" ht="15.75" customHeight="1">
      <c r="A26" s="635" t="s">
        <v>1828</v>
      </c>
      <c r="B26" s="27" t="s">
        <v>5</v>
      </c>
      <c r="C26" s="659" t="s">
        <v>18</v>
      </c>
      <c r="D26" s="659"/>
      <c r="E26" s="27">
        <v>50.49</v>
      </c>
      <c r="F26" s="357">
        <v>2073</v>
      </c>
      <c r="G26" s="348">
        <f t="shared" si="19"/>
        <v>104665.77</v>
      </c>
      <c r="H26" s="31" t="s">
        <v>40</v>
      </c>
      <c r="I26" s="355">
        <v>15</v>
      </c>
      <c r="J26" s="29">
        <v>2000</v>
      </c>
      <c r="K26" s="12">
        <f t="shared" si="1"/>
        <v>133.33333333333334</v>
      </c>
      <c r="L26" s="355">
        <v>15</v>
      </c>
      <c r="M26" s="13">
        <f t="shared" si="20"/>
        <v>1913.5384615384637</v>
      </c>
      <c r="N26" s="12">
        <f t="shared" si="3"/>
        <v>127.56923076923091</v>
      </c>
      <c r="O26" s="14">
        <f t="shared" si="4"/>
        <v>0</v>
      </c>
      <c r="P26" s="15">
        <f t="shared" si="5"/>
        <v>-5.7641025641024299</v>
      </c>
      <c r="Q26" s="353">
        <f t="shared" si="6"/>
        <v>0.95676923076923182</v>
      </c>
      <c r="R26" s="616"/>
      <c r="S26" s="32">
        <v>0.70833333333333337</v>
      </c>
      <c r="T26" s="32">
        <v>0.75347222222222221</v>
      </c>
      <c r="U26" s="348" t="str">
        <f t="shared" si="22"/>
        <v/>
      </c>
      <c r="V26" s="356">
        <f t="shared" si="21"/>
        <v>64.999999999999929</v>
      </c>
      <c r="W26" s="16"/>
      <c r="X26" s="348"/>
      <c r="Y26" s="348"/>
      <c r="Z26" s="348"/>
      <c r="AA26" s="612"/>
      <c r="AB26" s="612"/>
      <c r="AC26" s="18"/>
      <c r="AD26" s="18"/>
      <c r="AE26" s="14">
        <f t="shared" si="8"/>
        <v>-86.461538461536293</v>
      </c>
      <c r="AF26" s="353">
        <f t="shared" si="9"/>
        <v>0.95676923076923182</v>
      </c>
      <c r="AG26" s="616"/>
    </row>
    <row r="27" spans="1:33" ht="15.75" customHeight="1">
      <c r="A27" s="635" t="s">
        <v>1828</v>
      </c>
      <c r="B27" s="27" t="s">
        <v>5</v>
      </c>
      <c r="C27" s="659" t="s">
        <v>65</v>
      </c>
      <c r="D27" s="659"/>
      <c r="E27" s="27">
        <v>56.43</v>
      </c>
      <c r="F27" s="357">
        <v>1764</v>
      </c>
      <c r="G27" s="348">
        <f t="shared" si="19"/>
        <v>99542.52</v>
      </c>
      <c r="H27" s="31" t="s">
        <v>40</v>
      </c>
      <c r="I27" s="355">
        <v>13</v>
      </c>
      <c r="J27" s="29">
        <v>2000</v>
      </c>
      <c r="K27" s="12">
        <f t="shared" si="1"/>
        <v>153.84615384615384</v>
      </c>
      <c r="L27" s="355">
        <v>13</v>
      </c>
      <c r="M27" s="13">
        <f t="shared" si="20"/>
        <v>1924.3636363636374</v>
      </c>
      <c r="N27" s="12">
        <f t="shared" si="3"/>
        <v>148.02797202797211</v>
      </c>
      <c r="O27" s="14">
        <f t="shared" si="4"/>
        <v>0</v>
      </c>
      <c r="P27" s="15">
        <f t="shared" si="5"/>
        <v>-5.8181818181817277</v>
      </c>
      <c r="Q27" s="353">
        <f t="shared" si="6"/>
        <v>0.9621818181818188</v>
      </c>
      <c r="R27" s="616"/>
      <c r="S27" s="32">
        <v>0.7583333333333333</v>
      </c>
      <c r="T27" s="32">
        <v>0.79652777777777772</v>
      </c>
      <c r="U27" s="348">
        <f t="shared" si="22"/>
        <v>6.9999999999999751</v>
      </c>
      <c r="V27" s="356">
        <f t="shared" si="21"/>
        <v>54.999999999999964</v>
      </c>
      <c r="W27" s="16"/>
      <c r="X27" s="16"/>
      <c r="Y27" s="348"/>
      <c r="Z27" s="348"/>
      <c r="AA27" s="612"/>
      <c r="AB27" s="612"/>
      <c r="AC27" s="18"/>
      <c r="AD27" s="18"/>
      <c r="AE27" s="14">
        <f t="shared" si="8"/>
        <v>-75.636363636362603</v>
      </c>
      <c r="AF27" s="353">
        <f t="shared" si="9"/>
        <v>0.96218181818181869</v>
      </c>
      <c r="AG27" s="616"/>
    </row>
    <row r="28" spans="1:33" ht="15.75" customHeight="1">
      <c r="A28" s="635" t="s">
        <v>1828</v>
      </c>
      <c r="B28" s="27" t="s">
        <v>5</v>
      </c>
      <c r="C28" s="659" t="s">
        <v>1322</v>
      </c>
      <c r="D28" s="659"/>
      <c r="E28" s="27">
        <v>54.09</v>
      </c>
      <c r="F28" s="357">
        <v>1000</v>
      </c>
      <c r="G28" s="348">
        <f t="shared" si="19"/>
        <v>54090</v>
      </c>
      <c r="H28" s="31">
        <v>2</v>
      </c>
      <c r="I28" s="355">
        <v>18</v>
      </c>
      <c r="J28" s="29">
        <v>2000</v>
      </c>
      <c r="K28" s="12">
        <f t="shared" si="1"/>
        <v>111.11111111111111</v>
      </c>
      <c r="L28" s="355">
        <v>18</v>
      </c>
      <c r="M28" s="13">
        <f t="shared" si="20"/>
        <v>1935.483870967739</v>
      </c>
      <c r="N28" s="12">
        <f t="shared" si="3"/>
        <v>107.52688172042994</v>
      </c>
      <c r="O28" s="14">
        <f t="shared" si="4"/>
        <v>0</v>
      </c>
      <c r="P28" s="15">
        <f t="shared" si="5"/>
        <v>-3.5842293906811733</v>
      </c>
      <c r="Q28" s="353">
        <f t="shared" si="6"/>
        <v>0.96774193548386944</v>
      </c>
      <c r="R28" s="616"/>
      <c r="S28" s="32">
        <v>0.80208333333333326</v>
      </c>
      <c r="T28" s="32">
        <v>0.82361111111111107</v>
      </c>
      <c r="U28" s="348">
        <f t="shared" si="22"/>
        <v>7.9999999999999716</v>
      </c>
      <c r="V28" s="356">
        <f t="shared" si="21"/>
        <v>31.00000000000005</v>
      </c>
      <c r="W28" s="16">
        <f>T28</f>
        <v>0.82361111111111107</v>
      </c>
      <c r="X28" s="16">
        <f>S29</f>
        <v>0.86249999999999993</v>
      </c>
      <c r="Y28" s="20"/>
      <c r="Z28" s="20"/>
      <c r="AA28" s="612"/>
      <c r="AB28" s="612"/>
      <c r="AC28" s="18"/>
      <c r="AD28" s="18"/>
      <c r="AE28" s="14">
        <f t="shared" si="8"/>
        <v>-64.516129032261006</v>
      </c>
      <c r="AF28" s="353">
        <f t="shared" si="9"/>
        <v>0.96774193548386944</v>
      </c>
      <c r="AG28" s="616"/>
    </row>
    <row r="29" spans="1:33" ht="15.75" customHeight="1">
      <c r="A29" s="635" t="s">
        <v>1828</v>
      </c>
      <c r="B29" s="27" t="s">
        <v>5</v>
      </c>
      <c r="C29" s="631" t="s">
        <v>1322</v>
      </c>
      <c r="D29" s="632"/>
      <c r="E29" s="27">
        <v>54.09</v>
      </c>
      <c r="F29" s="357">
        <v>2062</v>
      </c>
      <c r="G29" s="348">
        <f t="shared" si="19"/>
        <v>111533.58</v>
      </c>
      <c r="H29" s="31" t="s">
        <v>40</v>
      </c>
      <c r="I29" s="355">
        <v>18</v>
      </c>
      <c r="J29" s="29">
        <v>2000</v>
      </c>
      <c r="K29" s="12">
        <f t="shared" si="1"/>
        <v>111.11111111111111</v>
      </c>
      <c r="L29" s="355">
        <v>18</v>
      </c>
      <c r="M29" s="13">
        <f t="shared" si="20"/>
        <v>1903.3846153846173</v>
      </c>
      <c r="N29" s="12">
        <f t="shared" si="3"/>
        <v>105.74358974358985</v>
      </c>
      <c r="O29" s="14">
        <f t="shared" si="4"/>
        <v>0</v>
      </c>
      <c r="P29" s="15">
        <f t="shared" si="5"/>
        <v>-5.3675213675212632</v>
      </c>
      <c r="Q29" s="353">
        <f t="shared" si="6"/>
        <v>0.95169230769230861</v>
      </c>
      <c r="R29" s="616"/>
      <c r="S29" s="32">
        <v>0.86249999999999993</v>
      </c>
      <c r="T29" s="32">
        <v>0.90763888888888877</v>
      </c>
      <c r="U29" s="348">
        <f t="shared" si="22"/>
        <v>55.999999999999957</v>
      </c>
      <c r="V29" s="356">
        <f t="shared" si="21"/>
        <v>64.999999999999929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-96.615384615382709</v>
      </c>
      <c r="AF29" s="353">
        <f t="shared" si="9"/>
        <v>0.95169230769230861</v>
      </c>
      <c r="AG29" s="616"/>
    </row>
    <row r="30" spans="1:33" ht="15.75" customHeight="1">
      <c r="A30" s="635" t="s">
        <v>1828</v>
      </c>
      <c r="B30" s="27" t="s">
        <v>1817</v>
      </c>
      <c r="C30" s="658"/>
      <c r="D30" s="658"/>
      <c r="E30" s="354"/>
      <c r="F30" s="357"/>
      <c r="G30" s="348"/>
      <c r="H30" s="357"/>
      <c r="I30" s="21">
        <v>15.857142857142858</v>
      </c>
      <c r="J30" s="29">
        <v>2000</v>
      </c>
      <c r="K30" s="12">
        <f t="shared" si="1"/>
        <v>126.12612612612612</v>
      </c>
      <c r="L30" s="21">
        <v>15.857142857142858</v>
      </c>
      <c r="M30" s="13">
        <f>AVERAGE(M23:M29)</f>
        <v>1915.1627428758432</v>
      </c>
      <c r="N30" s="12">
        <f t="shared" si="3"/>
        <v>120.77602883000812</v>
      </c>
      <c r="O30" s="14">
        <f t="shared" si="4"/>
        <v>0</v>
      </c>
      <c r="P30" s="15">
        <f t="shared" si="5"/>
        <v>-5.3500972961180082</v>
      </c>
      <c r="Q30" s="353">
        <f t="shared" si="6"/>
        <v>0.95758137143792155</v>
      </c>
      <c r="R30" s="616"/>
      <c r="S30" s="32"/>
      <c r="T30" s="32"/>
      <c r="U30" s="12"/>
      <c r="V30" s="356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-84.837257124156849</v>
      </c>
      <c r="AF30" s="353">
        <f t="shared" si="9"/>
        <v>0.95758137143792155</v>
      </c>
      <c r="AG30" s="616"/>
    </row>
    <row r="31" spans="1:33" ht="15.75" customHeight="1">
      <c r="A31" s="633" t="s">
        <v>1829</v>
      </c>
      <c r="B31" s="27" t="s">
        <v>20</v>
      </c>
      <c r="C31" s="659" t="s">
        <v>21</v>
      </c>
      <c r="D31" s="659"/>
      <c r="E31" s="27">
        <v>31.29</v>
      </c>
      <c r="F31" s="357">
        <v>5700</v>
      </c>
      <c r="G31" s="348">
        <f t="shared" ref="G31:G39" si="23">E31*F31</f>
        <v>178353</v>
      </c>
      <c r="H31" s="31">
        <v>2</v>
      </c>
      <c r="I31" s="355">
        <v>18</v>
      </c>
      <c r="J31" s="29">
        <v>2400</v>
      </c>
      <c r="K31" s="12">
        <f t="shared" si="1"/>
        <v>133.33333333333334</v>
      </c>
      <c r="L31" s="355">
        <v>18</v>
      </c>
      <c r="M31" s="13">
        <f t="shared" ref="M31:M39" si="24">F31/V31*60</f>
        <v>2295.3020134228186</v>
      </c>
      <c r="N31" s="12">
        <f t="shared" si="3"/>
        <v>127.51677852348992</v>
      </c>
      <c r="O31" s="14">
        <f t="shared" si="4"/>
        <v>0</v>
      </c>
      <c r="P31" s="15">
        <f t="shared" si="5"/>
        <v>-5.8165548098434243</v>
      </c>
      <c r="Q31" s="353">
        <f t="shared" si="6"/>
        <v>0.95637583892617428</v>
      </c>
      <c r="R31" s="616">
        <f>Q40</f>
        <v>0.95693311635468281</v>
      </c>
      <c r="S31" s="32">
        <v>8.3333333333333329E-2</v>
      </c>
      <c r="T31" s="32">
        <v>0.18680555555555556</v>
      </c>
      <c r="U31" s="348"/>
      <c r="V31" s="356">
        <f t="shared" ref="V31:V39" si="25">(T31-S31)*24*60</f>
        <v>149</v>
      </c>
      <c r="W31" s="16">
        <f>T31</f>
        <v>0.18680555555555556</v>
      </c>
      <c r="X31" s="16">
        <f>S32</f>
        <v>0.20625000000000002</v>
      </c>
      <c r="Y31" s="16"/>
      <c r="Z31" s="16"/>
      <c r="AA31" s="612"/>
      <c r="AB31" s="612"/>
      <c r="AC31" s="18">
        <v>9</v>
      </c>
      <c r="AD31" s="18"/>
      <c r="AE31" s="14">
        <f t="shared" si="8"/>
        <v>-104.69798657718138</v>
      </c>
      <c r="AF31" s="353">
        <f t="shared" si="9"/>
        <v>0.95637583892617439</v>
      </c>
      <c r="AG31" s="616">
        <f>AF40</f>
        <v>0.95693311635468281</v>
      </c>
    </row>
    <row r="32" spans="1:33" ht="15.75" customHeight="1">
      <c r="A32" s="633" t="s">
        <v>1830</v>
      </c>
      <c r="B32" s="27" t="s">
        <v>20</v>
      </c>
      <c r="C32" s="659" t="s">
        <v>22</v>
      </c>
      <c r="D32" s="659"/>
      <c r="E32" s="27">
        <v>26.37</v>
      </c>
      <c r="F32" s="357">
        <v>4100</v>
      </c>
      <c r="G32" s="348">
        <f t="shared" si="23"/>
        <v>108117</v>
      </c>
      <c r="H32" s="31">
        <v>2</v>
      </c>
      <c r="I32" s="355">
        <v>18</v>
      </c>
      <c r="J32" s="29">
        <v>2400</v>
      </c>
      <c r="K32" s="12">
        <f t="shared" si="1"/>
        <v>133.33333333333334</v>
      </c>
      <c r="L32" s="355">
        <v>18</v>
      </c>
      <c r="M32" s="13">
        <f t="shared" si="24"/>
        <v>2299.065420560748</v>
      </c>
      <c r="N32" s="12">
        <f t="shared" si="3"/>
        <v>127.72585669781932</v>
      </c>
      <c r="O32" s="14">
        <f t="shared" si="4"/>
        <v>0</v>
      </c>
      <c r="P32" s="15">
        <f t="shared" si="5"/>
        <v>-5.6074766355140184</v>
      </c>
      <c r="Q32" s="353">
        <f t="shared" si="6"/>
        <v>0.95794392523364491</v>
      </c>
      <c r="R32" s="616"/>
      <c r="S32" s="32">
        <v>0.20625000000000002</v>
      </c>
      <c r="T32" s="32">
        <v>0.28055555555555556</v>
      </c>
      <c r="U32" s="348">
        <f t="shared" ref="U32:U39" si="26">(S32-T31)*24*60</f>
        <v>28.000000000000021</v>
      </c>
      <c r="V32" s="356">
        <f t="shared" si="25"/>
        <v>106.99999999999999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-100.93457943925205</v>
      </c>
      <c r="AF32" s="353">
        <f t="shared" si="9"/>
        <v>0.95794392523364502</v>
      </c>
      <c r="AG32" s="616"/>
    </row>
    <row r="33" spans="1:33" ht="15.75" customHeight="1">
      <c r="A33" s="633" t="s">
        <v>1830</v>
      </c>
      <c r="B33" s="27" t="s">
        <v>20</v>
      </c>
      <c r="C33" s="659" t="s">
        <v>57</v>
      </c>
      <c r="D33" s="659"/>
      <c r="E33" s="27">
        <v>26.18</v>
      </c>
      <c r="F33" s="357">
        <v>4900</v>
      </c>
      <c r="G33" s="348">
        <f t="shared" si="23"/>
        <v>128282</v>
      </c>
      <c r="H33" s="31">
        <v>2</v>
      </c>
      <c r="I33" s="355">
        <v>18</v>
      </c>
      <c r="J33" s="29">
        <v>2400</v>
      </c>
      <c r="K33" s="12">
        <f t="shared" si="1"/>
        <v>133.33333333333334</v>
      </c>
      <c r="L33" s="355">
        <v>18</v>
      </c>
      <c r="M33" s="13">
        <f t="shared" si="24"/>
        <v>2296.8749999999995</v>
      </c>
      <c r="N33" s="12">
        <f t="shared" si="3"/>
        <v>127.60416666666664</v>
      </c>
      <c r="O33" s="14">
        <f t="shared" si="4"/>
        <v>0</v>
      </c>
      <c r="P33" s="15">
        <f t="shared" si="5"/>
        <v>-5.7291666666666998</v>
      </c>
      <c r="Q33" s="353">
        <f t="shared" si="6"/>
        <v>0.95703124999999978</v>
      </c>
      <c r="R33" s="616"/>
      <c r="S33" s="32">
        <v>0.28472222222222221</v>
      </c>
      <c r="T33" s="32">
        <v>0.37361111111111112</v>
      </c>
      <c r="U33" s="348">
        <f t="shared" si="26"/>
        <v>5.9999999999999787</v>
      </c>
      <c r="V33" s="356">
        <f t="shared" si="25"/>
        <v>128.00000000000003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-103.12500000000045</v>
      </c>
      <c r="AF33" s="353">
        <f t="shared" si="9"/>
        <v>0.95703124999999978</v>
      </c>
      <c r="AG33" s="616"/>
    </row>
    <row r="34" spans="1:33" ht="15.75" customHeight="1">
      <c r="A34" s="633" t="s">
        <v>1830</v>
      </c>
      <c r="B34" s="27" t="s">
        <v>20</v>
      </c>
      <c r="C34" s="659" t="s">
        <v>59</v>
      </c>
      <c r="D34" s="659"/>
      <c r="E34" s="27">
        <v>25.99</v>
      </c>
      <c r="F34" s="357">
        <v>1696</v>
      </c>
      <c r="G34" s="348">
        <f t="shared" si="23"/>
        <v>44079.040000000001</v>
      </c>
      <c r="H34" s="31" t="s">
        <v>40</v>
      </c>
      <c r="I34" s="355">
        <v>18</v>
      </c>
      <c r="J34" s="29">
        <v>2400</v>
      </c>
      <c r="K34" s="12">
        <f t="shared" si="1"/>
        <v>133.33333333333334</v>
      </c>
      <c r="L34" s="355">
        <v>18</v>
      </c>
      <c r="M34" s="13">
        <f t="shared" si="24"/>
        <v>2312.727272727273</v>
      </c>
      <c r="N34" s="12">
        <f t="shared" si="3"/>
        <v>128.4848484848485</v>
      </c>
      <c r="O34" s="14">
        <f t="shared" si="4"/>
        <v>0</v>
      </c>
      <c r="P34" s="15">
        <f t="shared" si="5"/>
        <v>-4.8484848484848442</v>
      </c>
      <c r="Q34" s="353">
        <f t="shared" si="6"/>
        <v>0.96363636363636362</v>
      </c>
      <c r="R34" s="616"/>
      <c r="S34" s="32">
        <v>0.37847222222222221</v>
      </c>
      <c r="T34" s="32">
        <v>0.40902777777777777</v>
      </c>
      <c r="U34" s="348">
        <f t="shared" si="26"/>
        <v>6.9999999999999751</v>
      </c>
      <c r="V34" s="356">
        <f t="shared" si="25"/>
        <v>44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-87.272727272727025</v>
      </c>
      <c r="AF34" s="353">
        <f t="shared" si="9"/>
        <v>0.96363636363636374</v>
      </c>
      <c r="AG34" s="616"/>
    </row>
    <row r="35" spans="1:33" ht="15.75" customHeight="1">
      <c r="A35" s="633" t="s">
        <v>1829</v>
      </c>
      <c r="B35" s="27" t="s">
        <v>20</v>
      </c>
      <c r="C35" s="659" t="s">
        <v>23</v>
      </c>
      <c r="D35" s="659"/>
      <c r="E35" s="27">
        <v>25.99</v>
      </c>
      <c r="F35" s="357">
        <v>4532</v>
      </c>
      <c r="G35" s="348">
        <f t="shared" si="23"/>
        <v>117786.68</v>
      </c>
      <c r="H35" s="31" t="s">
        <v>40</v>
      </c>
      <c r="I35" s="355">
        <v>14</v>
      </c>
      <c r="J35" s="29">
        <v>2400</v>
      </c>
      <c r="K35" s="12">
        <f t="shared" si="1"/>
        <v>171.42857142857142</v>
      </c>
      <c r="L35" s="355">
        <v>14</v>
      </c>
      <c r="M35" s="13">
        <f t="shared" si="24"/>
        <v>2285.042016806723</v>
      </c>
      <c r="N35" s="12">
        <f t="shared" si="3"/>
        <v>163.21728691476594</v>
      </c>
      <c r="O35" s="14">
        <f t="shared" si="4"/>
        <v>0</v>
      </c>
      <c r="P35" s="15">
        <f t="shared" si="5"/>
        <v>-8.2112845138054809</v>
      </c>
      <c r="Q35" s="353">
        <f t="shared" si="6"/>
        <v>0.95210084033613473</v>
      </c>
      <c r="R35" s="616"/>
      <c r="S35" s="32">
        <v>0.41249999999999998</v>
      </c>
      <c r="T35" s="32">
        <v>0.49513888888888885</v>
      </c>
      <c r="U35" s="348">
        <f t="shared" si="26"/>
        <v>4.9999999999999822</v>
      </c>
      <c r="V35" s="356">
        <f t="shared" si="25"/>
        <v>118.99999999999997</v>
      </c>
      <c r="W35" s="16">
        <f>T35</f>
        <v>0.49513888888888885</v>
      </c>
      <c r="X35" s="16">
        <f>S36</f>
        <v>0.53611111111111109</v>
      </c>
      <c r="Y35" s="16"/>
      <c r="Z35" s="16"/>
      <c r="AA35" s="612"/>
      <c r="AB35" s="612"/>
      <c r="AC35" s="18"/>
      <c r="AD35" s="18"/>
      <c r="AE35" s="14">
        <f t="shared" si="8"/>
        <v>-114.95798319327696</v>
      </c>
      <c r="AF35" s="353">
        <f t="shared" si="9"/>
        <v>0.95210084033613462</v>
      </c>
      <c r="AG35" s="616"/>
    </row>
    <row r="36" spans="1:33" ht="15.75" customHeight="1">
      <c r="A36" s="633" t="s">
        <v>1829</v>
      </c>
      <c r="B36" s="27" t="s">
        <v>20</v>
      </c>
      <c r="C36" s="659" t="s">
        <v>21</v>
      </c>
      <c r="D36" s="659"/>
      <c r="E36" s="27">
        <v>31.29</v>
      </c>
      <c r="F36" s="357">
        <v>4592</v>
      </c>
      <c r="G36" s="348">
        <f t="shared" si="23"/>
        <v>143683.68</v>
      </c>
      <c r="H36" s="31" t="s">
        <v>40</v>
      </c>
      <c r="I36" s="355">
        <v>18</v>
      </c>
      <c r="J36" s="29">
        <v>2400</v>
      </c>
      <c r="K36" s="12">
        <f t="shared" si="1"/>
        <v>133.33333333333334</v>
      </c>
      <c r="L36" s="355">
        <v>18</v>
      </c>
      <c r="M36" s="13">
        <f t="shared" si="24"/>
        <v>2295.9999999999991</v>
      </c>
      <c r="N36" s="12">
        <f t="shared" si="3"/>
        <v>127.5555555555555</v>
      </c>
      <c r="O36" s="14">
        <f t="shared" si="4"/>
        <v>0</v>
      </c>
      <c r="P36" s="15">
        <f t="shared" si="5"/>
        <v>-5.7777777777778425</v>
      </c>
      <c r="Q36" s="353">
        <f t="shared" si="6"/>
        <v>0.95666666666666622</v>
      </c>
      <c r="R36" s="616"/>
      <c r="S36" s="32">
        <v>0.53611111111111109</v>
      </c>
      <c r="T36" s="32">
        <v>0.61944444444444446</v>
      </c>
      <c r="U36" s="348">
        <f t="shared" si="26"/>
        <v>59.000000000000028</v>
      </c>
      <c r="V36" s="356">
        <f t="shared" si="25"/>
        <v>120.00000000000006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-104.00000000000091</v>
      </c>
      <c r="AF36" s="353">
        <f t="shared" si="9"/>
        <v>0.95666666666666633</v>
      </c>
      <c r="AG36" s="616"/>
    </row>
    <row r="37" spans="1:33" ht="15.75" customHeight="1">
      <c r="A37" s="633" t="s">
        <v>1829</v>
      </c>
      <c r="B37" s="27" t="s">
        <v>20</v>
      </c>
      <c r="C37" s="659" t="s">
        <v>22</v>
      </c>
      <c r="D37" s="659"/>
      <c r="E37" s="27">
        <v>26.37</v>
      </c>
      <c r="F37" s="357">
        <v>3087</v>
      </c>
      <c r="G37" s="348">
        <f t="shared" si="23"/>
        <v>81404.19</v>
      </c>
      <c r="H37" s="31" t="s">
        <v>40</v>
      </c>
      <c r="I37" s="355">
        <v>18</v>
      </c>
      <c r="J37" s="29">
        <v>2400</v>
      </c>
      <c r="K37" s="12">
        <f t="shared" si="1"/>
        <v>133.33333333333334</v>
      </c>
      <c r="L37" s="355">
        <v>18</v>
      </c>
      <c r="M37" s="13">
        <f t="shared" si="24"/>
        <v>2286.6666666666661</v>
      </c>
      <c r="N37" s="12">
        <f t="shared" si="3"/>
        <v>127.03703703703701</v>
      </c>
      <c r="O37" s="14">
        <f t="shared" si="4"/>
        <v>0</v>
      </c>
      <c r="P37" s="15">
        <f t="shared" si="5"/>
        <v>-6.2962962962963331</v>
      </c>
      <c r="Q37" s="353">
        <f t="shared" si="6"/>
        <v>0.9527777777777775</v>
      </c>
      <c r="R37" s="616"/>
      <c r="S37" s="32">
        <v>0.62430555555555556</v>
      </c>
      <c r="T37" s="32">
        <v>0.68055555555555558</v>
      </c>
      <c r="U37" s="348">
        <f t="shared" si="26"/>
        <v>6.9999999999999751</v>
      </c>
      <c r="V37" s="356">
        <f t="shared" si="25"/>
        <v>81.000000000000028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-113.33333333333394</v>
      </c>
      <c r="AF37" s="353">
        <f t="shared" si="9"/>
        <v>0.9527777777777775</v>
      </c>
      <c r="AG37" s="616"/>
    </row>
    <row r="38" spans="1:33" ht="15.75" customHeight="1">
      <c r="A38" s="633" t="s">
        <v>1830</v>
      </c>
      <c r="B38" s="27" t="s">
        <v>20</v>
      </c>
      <c r="C38" s="359" t="s">
        <v>57</v>
      </c>
      <c r="D38" s="360"/>
      <c r="E38" s="27">
        <v>26.18</v>
      </c>
      <c r="F38" s="357">
        <v>3994</v>
      </c>
      <c r="G38" s="348">
        <f t="shared" si="23"/>
        <v>104562.92</v>
      </c>
      <c r="H38" s="31" t="s">
        <v>40</v>
      </c>
      <c r="I38" s="355">
        <v>18</v>
      </c>
      <c r="J38" s="29">
        <v>2400</v>
      </c>
      <c r="K38" s="12">
        <f t="shared" si="1"/>
        <v>133.33333333333334</v>
      </c>
      <c r="L38" s="355">
        <v>18</v>
      </c>
      <c r="M38" s="13">
        <f t="shared" si="24"/>
        <v>2304.2307692307704</v>
      </c>
      <c r="N38" s="12">
        <f t="shared" si="3"/>
        <v>128.01282051282058</v>
      </c>
      <c r="O38" s="14">
        <f t="shared" si="4"/>
        <v>0</v>
      </c>
      <c r="P38" s="15">
        <f t="shared" si="5"/>
        <v>-5.3205128205127608</v>
      </c>
      <c r="Q38" s="353">
        <f t="shared" si="6"/>
        <v>0.96009615384615432</v>
      </c>
      <c r="R38" s="616"/>
      <c r="S38" s="32">
        <v>0.68402777777777779</v>
      </c>
      <c r="T38" s="32">
        <v>0.75624999999999998</v>
      </c>
      <c r="U38" s="348">
        <f t="shared" si="26"/>
        <v>4.9999999999999822</v>
      </c>
      <c r="V38" s="356">
        <f t="shared" si="25"/>
        <v>103.99999999999994</v>
      </c>
      <c r="W38" s="16"/>
      <c r="X38" s="16"/>
      <c r="Y38" s="16"/>
      <c r="Z38" s="16"/>
      <c r="AA38" s="351"/>
      <c r="AB38" s="352"/>
      <c r="AC38" s="18"/>
      <c r="AD38" s="18"/>
      <c r="AE38" s="14">
        <f t="shared" si="8"/>
        <v>-95.76923076922958</v>
      </c>
      <c r="AF38" s="353">
        <f t="shared" si="9"/>
        <v>0.96009615384615432</v>
      </c>
      <c r="AG38" s="616"/>
    </row>
    <row r="39" spans="1:33" ht="15.75" customHeight="1">
      <c r="A39" s="633" t="s">
        <v>1829</v>
      </c>
      <c r="B39" s="27" t="s">
        <v>20</v>
      </c>
      <c r="C39" s="631" t="s">
        <v>39</v>
      </c>
      <c r="D39" s="632"/>
      <c r="E39" s="27">
        <v>19.02</v>
      </c>
      <c r="F39" s="357">
        <v>1491</v>
      </c>
      <c r="G39" s="348">
        <f t="shared" si="23"/>
        <v>28358.82</v>
      </c>
      <c r="H39" s="31" t="s">
        <v>40</v>
      </c>
      <c r="I39" s="355">
        <v>14</v>
      </c>
      <c r="J39" s="29">
        <v>2400</v>
      </c>
      <c r="K39" s="12">
        <f t="shared" si="1"/>
        <v>171.42857142857142</v>
      </c>
      <c r="L39" s="355">
        <v>14</v>
      </c>
      <c r="M39" s="13">
        <f t="shared" si="24"/>
        <v>2293.8461538461529</v>
      </c>
      <c r="N39" s="12">
        <f t="shared" si="3"/>
        <v>163.84615384615378</v>
      </c>
      <c r="O39" s="14">
        <f t="shared" si="4"/>
        <v>0</v>
      </c>
      <c r="P39" s="15">
        <f t="shared" si="5"/>
        <v>-7.5824175824176336</v>
      </c>
      <c r="Q39" s="353">
        <f t="shared" si="6"/>
        <v>0.95576923076923048</v>
      </c>
      <c r="R39" s="616"/>
      <c r="S39" s="32">
        <v>0.75972222222222219</v>
      </c>
      <c r="T39" s="32">
        <v>0.78680555555555554</v>
      </c>
      <c r="U39" s="348">
        <f t="shared" si="26"/>
        <v>4.9999999999999822</v>
      </c>
      <c r="V39" s="356">
        <f t="shared" si="25"/>
        <v>39.000000000000021</v>
      </c>
      <c r="W39" s="16"/>
      <c r="X39" s="16"/>
      <c r="Y39" s="19"/>
      <c r="Z39" s="19"/>
      <c r="AA39" s="351"/>
      <c r="AB39" s="352"/>
      <c r="AC39" s="18"/>
      <c r="AD39" s="18"/>
      <c r="AE39" s="14">
        <f t="shared" si="8"/>
        <v>-106.1538461538471</v>
      </c>
      <c r="AF39" s="353">
        <f t="shared" si="9"/>
        <v>0.95576923076923037</v>
      </c>
      <c r="AG39" s="616"/>
    </row>
    <row r="40" spans="1:33" ht="15.75" customHeight="1">
      <c r="A40" s="633" t="s">
        <v>1830</v>
      </c>
      <c r="B40" s="27" t="s">
        <v>1831</v>
      </c>
      <c r="C40" s="658"/>
      <c r="D40" s="658"/>
      <c r="E40" s="354"/>
      <c r="F40" s="357"/>
      <c r="G40" s="348"/>
      <c r="H40" s="357"/>
      <c r="I40" s="21">
        <v>17.111111111111111</v>
      </c>
      <c r="J40" s="29">
        <v>2400</v>
      </c>
      <c r="K40" s="12">
        <f t="shared" si="1"/>
        <v>140.25974025974025</v>
      </c>
      <c r="L40" s="21">
        <v>17.111111111111111</v>
      </c>
      <c r="M40" s="13">
        <f>AVERAGE(M31:M39)</f>
        <v>2296.6394792512388</v>
      </c>
      <c r="N40" s="12">
        <f t="shared" si="3"/>
        <v>134.21919034585162</v>
      </c>
      <c r="O40" s="14">
        <f t="shared" si="4"/>
        <v>0</v>
      </c>
      <c r="P40" s="15">
        <f t="shared" si="5"/>
        <v>-6.0405499138886398</v>
      </c>
      <c r="Q40" s="353">
        <f t="shared" si="6"/>
        <v>0.95693311635468281</v>
      </c>
      <c r="R40" s="616"/>
      <c r="S40" s="32"/>
      <c r="T40" s="32"/>
      <c r="U40" s="348"/>
      <c r="V40" s="356"/>
      <c r="W40" s="348"/>
      <c r="X40" s="348"/>
      <c r="Y40" s="22">
        <f>SUM(Y31:Y39)</f>
        <v>0</v>
      </c>
      <c r="Z40" s="22">
        <f>SUM(Z31:Z39)</f>
        <v>0</v>
      </c>
      <c r="AA40" s="611"/>
      <c r="AB40" s="611"/>
      <c r="AC40" s="22">
        <v>9</v>
      </c>
      <c r="AD40" s="22">
        <f>SUM(AD31:AD39)</f>
        <v>0</v>
      </c>
      <c r="AE40" s="14">
        <f t="shared" si="8"/>
        <v>-103.36052074876125</v>
      </c>
      <c r="AF40" s="353">
        <f t="shared" si="9"/>
        <v>0.95693311635468281</v>
      </c>
      <c r="AG40" s="616"/>
    </row>
    <row r="41" spans="1:33" ht="15.75" customHeight="1">
      <c r="A41" s="629" t="s">
        <v>1832</v>
      </c>
      <c r="B41" s="27" t="s">
        <v>20</v>
      </c>
      <c r="C41" s="660" t="s">
        <v>58</v>
      </c>
      <c r="D41" s="660"/>
      <c r="E41" s="27">
        <v>26.18</v>
      </c>
      <c r="F41" s="357">
        <v>3900</v>
      </c>
      <c r="G41" s="348">
        <f t="shared" ref="G41:G48" si="27">E41*F41</f>
        <v>102102</v>
      </c>
      <c r="H41" s="31">
        <v>2</v>
      </c>
      <c r="I41" s="355">
        <v>20</v>
      </c>
      <c r="J41" s="29">
        <v>2400</v>
      </c>
      <c r="K41" s="12">
        <f t="shared" si="1"/>
        <v>120</v>
      </c>
      <c r="L41" s="355">
        <v>20</v>
      </c>
      <c r="M41" s="13">
        <f t="shared" ref="M41:M48" si="28">F41/V41*60</f>
        <v>2294.117647058823</v>
      </c>
      <c r="N41" s="12">
        <f t="shared" si="3"/>
        <v>114.70588235294115</v>
      </c>
      <c r="O41" s="14">
        <f t="shared" si="4"/>
        <v>0</v>
      </c>
      <c r="P41" s="15">
        <f t="shared" si="5"/>
        <v>-5.2941176470588545</v>
      </c>
      <c r="Q41" s="353">
        <f t="shared" si="6"/>
        <v>0.95588235294117618</v>
      </c>
      <c r="R41" s="616">
        <f>Q49</f>
        <v>0.95589303744383936</v>
      </c>
      <c r="S41" s="32">
        <v>8.3333333333333329E-2</v>
      </c>
      <c r="T41" s="32">
        <v>0.15416666666666667</v>
      </c>
      <c r="U41" s="348"/>
      <c r="V41" s="356">
        <f t="shared" ref="V41:V48" si="29">(T41-S41)*24*60</f>
        <v>102.00000000000001</v>
      </c>
      <c r="W41" s="20">
        <f>T41</f>
        <v>0.15416666666666667</v>
      </c>
      <c r="X41" s="20">
        <f>S42</f>
        <v>0.17222222222222222</v>
      </c>
      <c r="Y41" s="20"/>
      <c r="Z41" s="20"/>
      <c r="AA41" s="612"/>
      <c r="AB41" s="612"/>
      <c r="AC41" s="18">
        <v>8</v>
      </c>
      <c r="AD41" s="18"/>
      <c r="AE41" s="14">
        <f t="shared" si="8"/>
        <v>-105.88235294117703</v>
      </c>
      <c r="AF41" s="353">
        <f t="shared" si="9"/>
        <v>0.95588235294117618</v>
      </c>
      <c r="AG41" s="616">
        <f>AF49</f>
        <v>0.95589303744383936</v>
      </c>
    </row>
    <row r="42" spans="1:33" ht="15.75" customHeight="1">
      <c r="A42" s="629" t="s">
        <v>1832</v>
      </c>
      <c r="B42" s="27" t="s">
        <v>20</v>
      </c>
      <c r="C42" s="660" t="s">
        <v>25</v>
      </c>
      <c r="D42" s="660"/>
      <c r="E42" s="27">
        <v>24.43</v>
      </c>
      <c r="F42" s="357">
        <v>4200</v>
      </c>
      <c r="G42" s="348">
        <f t="shared" si="27"/>
        <v>102606</v>
      </c>
      <c r="H42" s="31">
        <v>2</v>
      </c>
      <c r="I42" s="355">
        <v>14</v>
      </c>
      <c r="J42" s="29">
        <v>2400</v>
      </c>
      <c r="K42" s="12">
        <f t="shared" si="1"/>
        <v>171.42857142857142</v>
      </c>
      <c r="L42" s="355">
        <v>14</v>
      </c>
      <c r="M42" s="13">
        <f t="shared" si="28"/>
        <v>2290.909090909091</v>
      </c>
      <c r="N42" s="12">
        <f t="shared" si="3"/>
        <v>163.63636363636365</v>
      </c>
      <c r="O42" s="14">
        <f t="shared" si="4"/>
        <v>0</v>
      </c>
      <c r="P42" s="15">
        <f t="shared" si="5"/>
        <v>-7.7922077922077619</v>
      </c>
      <c r="Q42" s="353">
        <f t="shared" si="6"/>
        <v>0.9545454545454547</v>
      </c>
      <c r="R42" s="616"/>
      <c r="S42" s="32">
        <v>0.17222222222222222</v>
      </c>
      <c r="T42" s="32">
        <v>0.24861111111111112</v>
      </c>
      <c r="U42" s="348">
        <f t="shared" ref="U42:U48" si="30">(S42-T41)*24*60</f>
        <v>25.999999999999986</v>
      </c>
      <c r="V42" s="356">
        <f t="shared" si="29"/>
        <v>110.00000000000001</v>
      </c>
      <c r="W42" s="348"/>
      <c r="X42" s="348"/>
      <c r="Y42" s="348"/>
      <c r="Z42" s="348"/>
      <c r="AA42" s="612"/>
      <c r="AB42" s="612"/>
      <c r="AC42" s="18"/>
      <c r="AD42" s="18"/>
      <c r="AE42" s="14">
        <f t="shared" si="8"/>
        <v>-109.09090909090901</v>
      </c>
      <c r="AF42" s="353">
        <f t="shared" si="9"/>
        <v>0.95454545454545459</v>
      </c>
      <c r="AG42" s="616"/>
    </row>
    <row r="43" spans="1:33">
      <c r="A43" s="630" t="s">
        <v>1832</v>
      </c>
      <c r="B43" s="27" t="s">
        <v>20</v>
      </c>
      <c r="C43" s="660" t="s">
        <v>83</v>
      </c>
      <c r="D43" s="660"/>
      <c r="E43" s="27">
        <v>25.98</v>
      </c>
      <c r="F43" s="357">
        <v>4545</v>
      </c>
      <c r="G43" s="348">
        <f t="shared" si="27"/>
        <v>118079.1</v>
      </c>
      <c r="H43" s="31" t="s">
        <v>40</v>
      </c>
      <c r="I43" s="355">
        <v>20</v>
      </c>
      <c r="J43" s="29">
        <v>2400</v>
      </c>
      <c r="K43" s="12">
        <f t="shared" si="1"/>
        <v>120</v>
      </c>
      <c r="L43" s="355">
        <v>20</v>
      </c>
      <c r="M43" s="13">
        <f t="shared" si="28"/>
        <v>2291.5966386554628</v>
      </c>
      <c r="N43" s="12">
        <f t="shared" si="3"/>
        <v>114.57983193277315</v>
      </c>
      <c r="O43" s="14">
        <f t="shared" si="4"/>
        <v>0</v>
      </c>
      <c r="P43" s="15">
        <f t="shared" si="5"/>
        <v>-5.4201680672268537</v>
      </c>
      <c r="Q43" s="353">
        <f t="shared" si="6"/>
        <v>0.95483193277310952</v>
      </c>
      <c r="R43" s="616"/>
      <c r="S43" s="32">
        <v>0.25277777777777777</v>
      </c>
      <c r="T43" s="32">
        <v>0.33541666666666664</v>
      </c>
      <c r="U43" s="348">
        <f t="shared" si="30"/>
        <v>5.9999999999999787</v>
      </c>
      <c r="V43" s="356">
        <f t="shared" si="29"/>
        <v>118.99999999999997</v>
      </c>
      <c r="W43" s="348"/>
      <c r="X43" s="348"/>
      <c r="Y43" s="348"/>
      <c r="Z43" s="348"/>
      <c r="AA43" s="612"/>
      <c r="AB43" s="612"/>
      <c r="AC43" s="18"/>
      <c r="AD43" s="18"/>
      <c r="AE43" s="14">
        <f t="shared" si="8"/>
        <v>-108.40336134453719</v>
      </c>
      <c r="AF43" s="353">
        <f t="shared" si="9"/>
        <v>0.95483193277310952</v>
      </c>
      <c r="AG43" s="616"/>
    </row>
    <row r="44" spans="1:33">
      <c r="A44" s="630" t="s">
        <v>1832</v>
      </c>
      <c r="B44" s="27" t="s">
        <v>20</v>
      </c>
      <c r="C44" s="660" t="s">
        <v>26</v>
      </c>
      <c r="D44" s="660"/>
      <c r="E44" s="27">
        <v>34.1</v>
      </c>
      <c r="F44" s="357">
        <v>3900</v>
      </c>
      <c r="G44" s="348">
        <f t="shared" si="27"/>
        <v>132990</v>
      </c>
      <c r="H44" s="31">
        <v>2</v>
      </c>
      <c r="I44" s="355">
        <v>17</v>
      </c>
      <c r="J44" s="29">
        <v>1600</v>
      </c>
      <c r="K44" s="12">
        <f t="shared" si="1"/>
        <v>94.117647058823536</v>
      </c>
      <c r="L44" s="355">
        <v>17</v>
      </c>
      <c r="M44" s="13">
        <f t="shared" si="28"/>
        <v>1529.411764705882</v>
      </c>
      <c r="N44" s="12">
        <f t="shared" si="3"/>
        <v>89.965397923875415</v>
      </c>
      <c r="O44" s="14">
        <f t="shared" si="4"/>
        <v>0</v>
      </c>
      <c r="P44" s="15">
        <f t="shared" si="5"/>
        <v>-4.1522491349481214</v>
      </c>
      <c r="Q44" s="353">
        <f t="shared" si="6"/>
        <v>0.95588235294117618</v>
      </c>
      <c r="R44" s="616"/>
      <c r="S44" s="32">
        <v>0.33958333333333329</v>
      </c>
      <c r="T44" s="32">
        <v>0.4458333333333333</v>
      </c>
      <c r="U44" s="348">
        <f t="shared" si="30"/>
        <v>5.9999999999999787</v>
      </c>
      <c r="V44" s="356">
        <f t="shared" si="29"/>
        <v>153.00000000000003</v>
      </c>
      <c r="W44" s="16"/>
      <c r="X44" s="16"/>
      <c r="Y44" s="16"/>
      <c r="Z44" s="16"/>
      <c r="AA44" s="612"/>
      <c r="AB44" s="612"/>
      <c r="AC44" s="18"/>
      <c r="AD44" s="18"/>
      <c r="AE44" s="14">
        <f t="shared" si="8"/>
        <v>-70.588235294118022</v>
      </c>
      <c r="AF44" s="353">
        <f t="shared" si="9"/>
        <v>0.95588235294117618</v>
      </c>
      <c r="AG44" s="616"/>
    </row>
    <row r="45" spans="1:33">
      <c r="A45" s="630" t="s">
        <v>1832</v>
      </c>
      <c r="B45" s="27" t="s">
        <v>20</v>
      </c>
      <c r="C45" s="660" t="s">
        <v>64</v>
      </c>
      <c r="D45" s="660"/>
      <c r="E45" s="27">
        <v>20.21</v>
      </c>
      <c r="F45" s="357">
        <v>2946</v>
      </c>
      <c r="G45" s="348">
        <f t="shared" si="27"/>
        <v>59538.66</v>
      </c>
      <c r="H45" s="31" t="s">
        <v>40</v>
      </c>
      <c r="I45" s="355">
        <v>18</v>
      </c>
      <c r="J45" s="29">
        <v>2400</v>
      </c>
      <c r="K45" s="12">
        <f t="shared" si="1"/>
        <v>133.33333333333334</v>
      </c>
      <c r="L45" s="355">
        <v>18</v>
      </c>
      <c r="M45" s="13">
        <f t="shared" si="28"/>
        <v>2295.5844155844143</v>
      </c>
      <c r="N45" s="12">
        <f t="shared" si="3"/>
        <v>127.53246753246746</v>
      </c>
      <c r="O45" s="14">
        <f t="shared" si="4"/>
        <v>0</v>
      </c>
      <c r="P45" s="15">
        <f t="shared" si="5"/>
        <v>-5.8008658008658784</v>
      </c>
      <c r="Q45" s="353">
        <f t="shared" si="6"/>
        <v>0.95649350649350595</v>
      </c>
      <c r="R45" s="616"/>
      <c r="S45" s="32">
        <v>0.44999999999999996</v>
      </c>
      <c r="T45" s="32">
        <v>0.50347222222222221</v>
      </c>
      <c r="U45" s="348">
        <f t="shared" si="30"/>
        <v>5.9999999999999787</v>
      </c>
      <c r="V45" s="356">
        <f t="shared" si="29"/>
        <v>77.000000000000043</v>
      </c>
      <c r="W45" s="16">
        <f>T45</f>
        <v>0.50347222222222221</v>
      </c>
      <c r="X45" s="16">
        <f>S46</f>
        <v>0.54374999999999996</v>
      </c>
      <c r="Y45" s="16"/>
      <c r="Z45" s="16"/>
      <c r="AA45" s="612"/>
      <c r="AB45" s="612"/>
      <c r="AC45" s="18"/>
      <c r="AD45" s="18"/>
      <c r="AE45" s="14">
        <f t="shared" si="8"/>
        <v>-104.41558441558573</v>
      </c>
      <c r="AF45" s="353">
        <f t="shared" si="9"/>
        <v>0.95649350649350595</v>
      </c>
      <c r="AG45" s="616"/>
    </row>
    <row r="46" spans="1:33">
      <c r="A46" s="630" t="s">
        <v>282</v>
      </c>
      <c r="B46" s="27" t="s">
        <v>20</v>
      </c>
      <c r="C46" s="660" t="s">
        <v>58</v>
      </c>
      <c r="D46" s="660"/>
      <c r="E46" s="27">
        <v>26.18</v>
      </c>
      <c r="F46" s="357">
        <v>2943</v>
      </c>
      <c r="G46" s="348">
        <f t="shared" si="27"/>
        <v>77047.740000000005</v>
      </c>
      <c r="H46" s="31" t="s">
        <v>40</v>
      </c>
      <c r="I46" s="355">
        <v>20</v>
      </c>
      <c r="J46" s="29">
        <v>2400</v>
      </c>
      <c r="K46" s="12">
        <f t="shared" si="1"/>
        <v>120</v>
      </c>
      <c r="L46" s="355">
        <v>20</v>
      </c>
      <c r="M46" s="13">
        <f t="shared" si="28"/>
        <v>2293.2467532467522</v>
      </c>
      <c r="N46" s="12">
        <f t="shared" si="3"/>
        <v>114.66233766233761</v>
      </c>
      <c r="O46" s="14">
        <f t="shared" si="4"/>
        <v>0</v>
      </c>
      <c r="P46" s="15">
        <f t="shared" si="5"/>
        <v>-5.337662337662394</v>
      </c>
      <c r="Q46" s="353">
        <f t="shared" si="6"/>
        <v>0.9555194805194801</v>
      </c>
      <c r="R46" s="616"/>
      <c r="S46" s="32">
        <v>0.54374999999999996</v>
      </c>
      <c r="T46" s="32">
        <v>0.59722222222222221</v>
      </c>
      <c r="U46" s="348">
        <f t="shared" si="30"/>
        <v>57.999999999999957</v>
      </c>
      <c r="V46" s="356">
        <f t="shared" si="29"/>
        <v>77.000000000000043</v>
      </c>
      <c r="W46" s="16"/>
      <c r="X46" s="16"/>
      <c r="Y46" s="16"/>
      <c r="Z46" s="16"/>
      <c r="AA46" s="612"/>
      <c r="AB46" s="612"/>
      <c r="AC46" s="18"/>
      <c r="AD46" s="18"/>
      <c r="AE46" s="14">
        <f t="shared" si="8"/>
        <v>-106.75324675324782</v>
      </c>
      <c r="AF46" s="353">
        <f t="shared" si="9"/>
        <v>0.9555194805194801</v>
      </c>
      <c r="AG46" s="616"/>
    </row>
    <row r="47" spans="1:33">
      <c r="A47" s="630" t="s">
        <v>282</v>
      </c>
      <c r="B47" s="27" t="s">
        <v>20</v>
      </c>
      <c r="C47" s="660" t="s">
        <v>25</v>
      </c>
      <c r="D47" s="660"/>
      <c r="E47" s="27">
        <v>24.43</v>
      </c>
      <c r="F47" s="357">
        <v>3499</v>
      </c>
      <c r="G47" s="348">
        <f t="shared" si="27"/>
        <v>85480.569999999992</v>
      </c>
      <c r="H47" s="31" t="s">
        <v>40</v>
      </c>
      <c r="I47" s="355">
        <v>14</v>
      </c>
      <c r="J47" s="29">
        <v>2400</v>
      </c>
      <c r="K47" s="12">
        <f t="shared" si="1"/>
        <v>171.42857142857142</v>
      </c>
      <c r="L47" s="355">
        <v>14</v>
      </c>
      <c r="M47" s="13">
        <f t="shared" si="28"/>
        <v>2307.032967032967</v>
      </c>
      <c r="N47" s="12">
        <f t="shared" si="3"/>
        <v>164.78806907378336</v>
      </c>
      <c r="O47" s="14">
        <f t="shared" si="4"/>
        <v>0</v>
      </c>
      <c r="P47" s="15">
        <f t="shared" si="5"/>
        <v>-6.6405023547880546</v>
      </c>
      <c r="Q47" s="353">
        <f t="shared" si="6"/>
        <v>0.96126373626373629</v>
      </c>
      <c r="R47" s="616"/>
      <c r="S47" s="32">
        <v>0.60138888888888886</v>
      </c>
      <c r="T47" s="32">
        <v>0.6645833333333333</v>
      </c>
      <c r="U47" s="348">
        <f t="shared" si="30"/>
        <v>5.9999999999999787</v>
      </c>
      <c r="V47" s="356">
        <f t="shared" si="29"/>
        <v>91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-92.967032967032992</v>
      </c>
      <c r="AF47" s="353">
        <f t="shared" si="9"/>
        <v>0.96126373626373629</v>
      </c>
      <c r="AG47" s="616"/>
    </row>
    <row r="48" spans="1:33">
      <c r="A48" s="630" t="s">
        <v>282</v>
      </c>
      <c r="B48" s="27" t="s">
        <v>20</v>
      </c>
      <c r="C48" s="660" t="s">
        <v>26</v>
      </c>
      <c r="D48" s="660"/>
      <c r="E48" s="27">
        <v>34.1</v>
      </c>
      <c r="F48" s="357">
        <v>3348</v>
      </c>
      <c r="G48" s="348">
        <f t="shared" si="27"/>
        <v>114166.8</v>
      </c>
      <c r="H48" s="31" t="s">
        <v>40</v>
      </c>
      <c r="I48" s="355">
        <v>17</v>
      </c>
      <c r="J48" s="29">
        <v>1600</v>
      </c>
      <c r="K48" s="12">
        <f t="shared" si="1"/>
        <v>94.117647058823536</v>
      </c>
      <c r="L48" s="355">
        <v>17</v>
      </c>
      <c r="M48" s="13">
        <f t="shared" si="28"/>
        <v>1521.8181818181818</v>
      </c>
      <c r="N48" s="12">
        <f t="shared" si="3"/>
        <v>89.518716577540104</v>
      </c>
      <c r="O48" s="14">
        <f t="shared" si="4"/>
        <v>0</v>
      </c>
      <c r="P48" s="15">
        <f t="shared" si="5"/>
        <v>-4.598930481283432</v>
      </c>
      <c r="Q48" s="353">
        <f t="shared" si="6"/>
        <v>0.95113636363636356</v>
      </c>
      <c r="R48" s="616"/>
      <c r="S48" s="32">
        <v>0.67013888888888884</v>
      </c>
      <c r="T48" s="32">
        <v>0.76180555555555551</v>
      </c>
      <c r="U48" s="348">
        <f t="shared" si="30"/>
        <v>7.9999999999999716</v>
      </c>
      <c r="V48" s="356">
        <f t="shared" si="29"/>
        <v>132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-78.181818181818244</v>
      </c>
      <c r="AF48" s="353">
        <f t="shared" si="9"/>
        <v>0.95113636363636356</v>
      </c>
      <c r="AG48" s="616"/>
    </row>
    <row r="49" spans="1:33">
      <c r="A49" s="630" t="s">
        <v>282</v>
      </c>
      <c r="B49" s="28" t="s">
        <v>70</v>
      </c>
      <c r="C49" s="658"/>
      <c r="D49" s="658"/>
      <c r="E49" s="354"/>
      <c r="F49" s="28"/>
      <c r="G49" s="12"/>
      <c r="H49" s="357"/>
      <c r="I49" s="21">
        <v>17.5</v>
      </c>
      <c r="J49" s="29">
        <v>2200</v>
      </c>
      <c r="K49" s="12">
        <f t="shared" si="1"/>
        <v>125.71428571428571</v>
      </c>
      <c r="L49" s="21">
        <v>17.5</v>
      </c>
      <c r="M49" s="13">
        <f>AVERAGE(M41:M48)</f>
        <v>2102.9646823764465</v>
      </c>
      <c r="N49" s="12">
        <f t="shared" si="3"/>
        <v>120.16941042151123</v>
      </c>
      <c r="O49" s="14">
        <f t="shared" si="4"/>
        <v>0</v>
      </c>
      <c r="P49" s="15">
        <f t="shared" si="5"/>
        <v>-5.5448752927744778</v>
      </c>
      <c r="Q49" s="353">
        <f t="shared" si="6"/>
        <v>0.95589303744383936</v>
      </c>
      <c r="R49" s="616"/>
      <c r="S49" s="32"/>
      <c r="T49" s="32"/>
      <c r="U49" s="12"/>
      <c r="V49" s="356"/>
      <c r="W49" s="12"/>
      <c r="X49" s="12"/>
      <c r="Y49" s="22">
        <f>SUM(Y41:Y48)</f>
        <v>0</v>
      </c>
      <c r="Z49" s="22">
        <f>SUM(Z41:Z48)</f>
        <v>0</v>
      </c>
      <c r="AA49" s="611"/>
      <c r="AB49" s="611"/>
      <c r="AC49" s="22">
        <v>8</v>
      </c>
      <c r="AD49" s="22">
        <f>SUM(AD41:AD48)</f>
        <v>0</v>
      </c>
      <c r="AE49" s="14">
        <f t="shared" si="8"/>
        <v>-97.03531762355351</v>
      </c>
      <c r="AF49" s="353">
        <f t="shared" si="9"/>
        <v>0.95589303744383936</v>
      </c>
      <c r="AG49" s="616"/>
    </row>
    <row r="50" spans="1:33" ht="15.75" customHeight="1">
      <c r="A50" s="623" t="s">
        <v>75</v>
      </c>
      <c r="B50" s="27" t="s">
        <v>27</v>
      </c>
      <c r="C50" s="605" t="s">
        <v>33</v>
      </c>
      <c r="D50" s="606"/>
      <c r="E50" s="27">
        <v>34.36</v>
      </c>
      <c r="F50" s="357">
        <v>2599</v>
      </c>
      <c r="G50" s="348">
        <f t="shared" ref="G50:G53" si="31">E50*F50</f>
        <v>89301.64</v>
      </c>
      <c r="H50" s="31" t="s">
        <v>40</v>
      </c>
      <c r="I50" s="355">
        <v>10</v>
      </c>
      <c r="J50" s="29">
        <v>3000</v>
      </c>
      <c r="K50" s="12">
        <f t="shared" si="1"/>
        <v>300</v>
      </c>
      <c r="L50" s="355">
        <v>10</v>
      </c>
      <c r="M50" s="13">
        <f t="shared" ref="M50:M53" si="32">F50/V50*60</f>
        <v>2887.7777777777774</v>
      </c>
      <c r="N50" s="13">
        <f t="shared" si="3"/>
        <v>288.77777777777771</v>
      </c>
      <c r="O50" s="14">
        <f t="shared" si="4"/>
        <v>0</v>
      </c>
      <c r="P50" s="15">
        <f t="shared" si="5"/>
        <v>-11.222222222222285</v>
      </c>
      <c r="Q50" s="353">
        <f t="shared" si="6"/>
        <v>0.96259259259259233</v>
      </c>
      <c r="R50" s="626">
        <f>Q54</f>
        <v>0.95705247521861614</v>
      </c>
      <c r="S50" s="32">
        <v>0.20833333333333334</v>
      </c>
      <c r="T50" s="32">
        <v>0.24583333333333335</v>
      </c>
      <c r="U50" s="20"/>
      <c r="V50" s="356">
        <f t="shared" ref="V50:V53" si="33">(T50-S50)*24*60</f>
        <v>54.000000000000007</v>
      </c>
      <c r="W50" s="16"/>
      <c r="X50" s="16"/>
      <c r="Y50" s="19"/>
      <c r="Z50" s="19"/>
      <c r="AA50" s="607"/>
      <c r="AB50" s="608"/>
      <c r="AC50" s="18">
        <v>4</v>
      </c>
      <c r="AD50" s="18"/>
      <c r="AE50" s="14">
        <f t="shared" si="8"/>
        <v>-112.22222222222263</v>
      </c>
      <c r="AF50" s="353">
        <f t="shared" si="9"/>
        <v>0.96259259259259244</v>
      </c>
      <c r="AG50" s="626">
        <f>AF54</f>
        <v>0.95705247521861614</v>
      </c>
    </row>
    <row r="51" spans="1:33" ht="15.75" customHeight="1">
      <c r="A51" s="624" t="s">
        <v>1833</v>
      </c>
      <c r="B51" s="27" t="s">
        <v>27</v>
      </c>
      <c r="C51" s="605" t="s">
        <v>29</v>
      </c>
      <c r="D51" s="606"/>
      <c r="E51" s="27">
        <v>21.13</v>
      </c>
      <c r="F51" s="357">
        <v>6176</v>
      </c>
      <c r="G51" s="348">
        <f t="shared" si="31"/>
        <v>130498.87999999999</v>
      </c>
      <c r="H51" s="31" t="s">
        <v>40</v>
      </c>
      <c r="I51" s="355">
        <v>10</v>
      </c>
      <c r="J51" s="29">
        <v>3000</v>
      </c>
      <c r="K51" s="12">
        <f t="shared" si="1"/>
        <v>300</v>
      </c>
      <c r="L51" s="355">
        <v>10</v>
      </c>
      <c r="M51" s="13">
        <f t="shared" si="32"/>
        <v>2872.5581395348831</v>
      </c>
      <c r="N51" s="13">
        <f t="shared" si="3"/>
        <v>287.25581395348831</v>
      </c>
      <c r="O51" s="14">
        <f t="shared" si="4"/>
        <v>0</v>
      </c>
      <c r="P51" s="15">
        <f t="shared" si="5"/>
        <v>-12.744186046511686</v>
      </c>
      <c r="Q51" s="353">
        <f t="shared" si="6"/>
        <v>0.95751937984496105</v>
      </c>
      <c r="R51" s="627"/>
      <c r="S51" s="32">
        <v>0.24930555555555556</v>
      </c>
      <c r="T51" s="32">
        <v>0.33888888888888891</v>
      </c>
      <c r="U51" s="348">
        <f t="shared" ref="U51:U53" si="34">(S51-T50)*24*60</f>
        <v>4.9999999999999822</v>
      </c>
      <c r="V51" s="356">
        <f t="shared" si="33"/>
        <v>129.00000000000003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8"/>
        <v>-127.44186046511686</v>
      </c>
      <c r="AF51" s="353">
        <f t="shared" si="9"/>
        <v>0.95751937984496105</v>
      </c>
      <c r="AG51" s="627"/>
    </row>
    <row r="52" spans="1:33" ht="15.75" customHeight="1">
      <c r="A52" s="624" t="s">
        <v>1833</v>
      </c>
      <c r="B52" s="27" t="s">
        <v>27</v>
      </c>
      <c r="C52" s="605" t="s">
        <v>30</v>
      </c>
      <c r="D52" s="606"/>
      <c r="E52" s="27">
        <v>27.17</v>
      </c>
      <c r="F52" s="357">
        <v>6020</v>
      </c>
      <c r="G52" s="348">
        <f t="shared" si="31"/>
        <v>163563.40000000002</v>
      </c>
      <c r="H52" s="31" t="s">
        <v>40</v>
      </c>
      <c r="I52" s="355">
        <v>10</v>
      </c>
      <c r="J52" s="29">
        <v>3000</v>
      </c>
      <c r="K52" s="12">
        <f t="shared" si="1"/>
        <v>300</v>
      </c>
      <c r="L52" s="355">
        <v>10</v>
      </c>
      <c r="M52" s="13">
        <f t="shared" si="32"/>
        <v>2866.6666666666661</v>
      </c>
      <c r="N52" s="13">
        <f t="shared" si="3"/>
        <v>286.66666666666663</v>
      </c>
      <c r="O52" s="14">
        <f t="shared" si="4"/>
        <v>0</v>
      </c>
      <c r="P52" s="15">
        <f t="shared" si="5"/>
        <v>-13.333333333333371</v>
      </c>
      <c r="Q52" s="353">
        <f t="shared" si="6"/>
        <v>0.95555555555555538</v>
      </c>
      <c r="R52" s="627"/>
      <c r="S52" s="32">
        <v>0.34305555555555556</v>
      </c>
      <c r="T52" s="32">
        <v>0.43055555555555558</v>
      </c>
      <c r="U52" s="348">
        <f t="shared" si="34"/>
        <v>5.9999999999999787</v>
      </c>
      <c r="V52" s="356">
        <f t="shared" si="33"/>
        <v>126.00000000000003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-133.33333333333394</v>
      </c>
      <c r="AF52" s="353">
        <f t="shared" si="9"/>
        <v>0.95555555555555538</v>
      </c>
      <c r="AG52" s="627"/>
    </row>
    <row r="53" spans="1:33" ht="15.75" customHeight="1">
      <c r="A53" s="624" t="s">
        <v>1833</v>
      </c>
      <c r="B53" s="27" t="s">
        <v>27</v>
      </c>
      <c r="C53" s="605" t="s">
        <v>35</v>
      </c>
      <c r="D53" s="606"/>
      <c r="E53" s="27">
        <v>35.869999999999997</v>
      </c>
      <c r="F53" s="357">
        <v>2810</v>
      </c>
      <c r="G53" s="348">
        <f t="shared" si="31"/>
        <v>100794.7</v>
      </c>
      <c r="H53" s="31" t="s">
        <v>40</v>
      </c>
      <c r="I53" s="355">
        <v>9</v>
      </c>
      <c r="J53" s="29">
        <v>3000</v>
      </c>
      <c r="K53" s="12">
        <f t="shared" si="1"/>
        <v>333.33333333333331</v>
      </c>
      <c r="L53" s="355">
        <v>9</v>
      </c>
      <c r="M53" s="13">
        <f t="shared" si="32"/>
        <v>2857.6271186440663</v>
      </c>
      <c r="N53" s="13">
        <f t="shared" si="3"/>
        <v>317.51412429378513</v>
      </c>
      <c r="O53" s="14">
        <f t="shared" si="4"/>
        <v>0</v>
      </c>
      <c r="P53" s="15">
        <f t="shared" si="5"/>
        <v>-15.819209039548184</v>
      </c>
      <c r="Q53" s="353">
        <f t="shared" si="6"/>
        <v>0.95254237288135546</v>
      </c>
      <c r="R53" s="627"/>
      <c r="S53" s="32">
        <v>0.43402777777777779</v>
      </c>
      <c r="T53" s="32">
        <v>0.47500000000000003</v>
      </c>
      <c r="U53" s="348">
        <f t="shared" si="34"/>
        <v>4.9999999999999822</v>
      </c>
      <c r="V53" s="356">
        <f t="shared" si="33"/>
        <v>59.000000000000028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-142.37288135593371</v>
      </c>
      <c r="AF53" s="353">
        <f t="shared" si="9"/>
        <v>0.95254237288135546</v>
      </c>
      <c r="AG53" s="627"/>
    </row>
    <row r="54" spans="1:33" ht="15.75" customHeight="1">
      <c r="A54" s="625" t="s">
        <v>1833</v>
      </c>
      <c r="B54" s="27" t="s">
        <v>1834</v>
      </c>
      <c r="C54" s="609"/>
      <c r="D54" s="610"/>
      <c r="E54" s="346"/>
      <c r="F54" s="357"/>
      <c r="G54" s="348"/>
      <c r="H54" s="357"/>
      <c r="I54" s="21">
        <v>9.75</v>
      </c>
      <c r="J54" s="29">
        <v>3000</v>
      </c>
      <c r="K54" s="12">
        <f t="shared" si="1"/>
        <v>307.69230769230768</v>
      </c>
      <c r="L54" s="21">
        <v>9.75</v>
      </c>
      <c r="M54" s="13">
        <f>AVERAGE(M50:M53)</f>
        <v>2871.1574256558483</v>
      </c>
      <c r="N54" s="12">
        <f t="shared" si="3"/>
        <v>294.4776846826511</v>
      </c>
      <c r="O54" s="14">
        <f t="shared" si="4"/>
        <v>0</v>
      </c>
      <c r="P54" s="15">
        <f t="shared" si="5"/>
        <v>-13.214623009656577</v>
      </c>
      <c r="Q54" s="353">
        <f t="shared" si="6"/>
        <v>0.95705247521861614</v>
      </c>
      <c r="R54" s="628"/>
      <c r="S54" s="32"/>
      <c r="T54" s="32"/>
      <c r="U54" s="348"/>
      <c r="V54" s="356"/>
      <c r="W54" s="16"/>
      <c r="X54" s="16"/>
      <c r="Y54" s="22">
        <f>SUM(Y50:Y53)</f>
        <v>0</v>
      </c>
      <c r="Z54" s="22">
        <f>SUM(Z50:Z53)</f>
        <v>0</v>
      </c>
      <c r="AA54" s="619"/>
      <c r="AB54" s="620"/>
      <c r="AC54" s="22">
        <v>4</v>
      </c>
      <c r="AD54" s="22">
        <f>SUM(AD50:AD53)</f>
        <v>0</v>
      </c>
      <c r="AE54" s="14">
        <f t="shared" si="8"/>
        <v>-128.84257434415167</v>
      </c>
      <c r="AF54" s="353">
        <f t="shared" si="9"/>
        <v>0.95705247521861614</v>
      </c>
      <c r="AG54" s="628"/>
    </row>
    <row r="55" spans="1:33" ht="15.75" customHeight="1">
      <c r="A55" s="621" t="s">
        <v>1835</v>
      </c>
      <c r="B55" s="27" t="s">
        <v>5</v>
      </c>
      <c r="C55" s="660" t="s">
        <v>15</v>
      </c>
      <c r="D55" s="660"/>
      <c r="E55" s="27">
        <v>59.04</v>
      </c>
      <c r="F55" s="30">
        <v>2131</v>
      </c>
      <c r="G55" s="348">
        <f t="shared" ref="G55:G63" si="35">E55*F55</f>
        <v>125814.24</v>
      </c>
      <c r="H55" s="31" t="s">
        <v>40</v>
      </c>
      <c r="I55" s="355">
        <v>19</v>
      </c>
      <c r="J55" s="29">
        <v>2000</v>
      </c>
      <c r="K55" s="12">
        <f t="shared" si="1"/>
        <v>105.26315789473684</v>
      </c>
      <c r="L55" s="355">
        <v>19</v>
      </c>
      <c r="M55" s="13">
        <f t="shared" ref="M55" si="36">F55/V55*60</f>
        <v>1908.3582089552251</v>
      </c>
      <c r="N55" s="13">
        <f t="shared" si="3"/>
        <v>100.43990573448554</v>
      </c>
      <c r="O55" s="14">
        <f t="shared" si="4"/>
        <v>0</v>
      </c>
      <c r="P55" s="15">
        <f t="shared" si="5"/>
        <v>-4.8232521602513003</v>
      </c>
      <c r="Q55" s="353">
        <f t="shared" si="6"/>
        <v>0.95417910447761267</v>
      </c>
      <c r="R55" s="616">
        <f>Q64</f>
        <v>0.95904203442622693</v>
      </c>
      <c r="S55" s="32">
        <v>0.20833333333333334</v>
      </c>
      <c r="T55" s="32">
        <v>0.25486111111111109</v>
      </c>
      <c r="U55" s="20"/>
      <c r="V55" s="356">
        <f t="shared" ref="V55:V63" si="37">(T55-S55)*24*60</f>
        <v>66.999999999999957</v>
      </c>
      <c r="W55" s="16"/>
      <c r="X55" s="16"/>
      <c r="Y55" s="20"/>
      <c r="Z55" s="20"/>
      <c r="AA55" s="612"/>
      <c r="AB55" s="612"/>
      <c r="AC55" s="18">
        <v>9</v>
      </c>
      <c r="AD55" s="18"/>
      <c r="AE55" s="14">
        <f t="shared" si="8"/>
        <v>-91.641791044774891</v>
      </c>
      <c r="AF55" s="353">
        <f t="shared" si="9"/>
        <v>0.95417910447761256</v>
      </c>
      <c r="AG55" s="616">
        <f>AF64</f>
        <v>0.95904203442622693</v>
      </c>
    </row>
    <row r="56" spans="1:33" ht="15.75" customHeight="1">
      <c r="A56" s="621" t="s">
        <v>1835</v>
      </c>
      <c r="B56" s="27" t="s">
        <v>5</v>
      </c>
      <c r="C56" s="660" t="s">
        <v>31</v>
      </c>
      <c r="D56" s="660"/>
      <c r="E56" s="27">
        <v>56.43</v>
      </c>
      <c r="F56" s="30">
        <v>1527</v>
      </c>
      <c r="G56" s="348">
        <f t="shared" si="35"/>
        <v>86168.61</v>
      </c>
      <c r="H56" s="31" t="s">
        <v>40</v>
      </c>
      <c r="I56" s="355">
        <v>22</v>
      </c>
      <c r="J56" s="29">
        <v>2000</v>
      </c>
      <c r="K56" s="12">
        <f t="shared" si="1"/>
        <v>90.909090909090907</v>
      </c>
      <c r="L56" s="355">
        <v>22</v>
      </c>
      <c r="M56" s="13">
        <f>F56/V56*60</f>
        <v>1908.7500000000007</v>
      </c>
      <c r="N56" s="13">
        <f t="shared" si="3"/>
        <v>86.761363636363669</v>
      </c>
      <c r="O56" s="14">
        <f t="shared" si="4"/>
        <v>0</v>
      </c>
      <c r="P56" s="15">
        <f t="shared" si="5"/>
        <v>-4.1477272727272378</v>
      </c>
      <c r="Q56" s="353">
        <f t="shared" si="6"/>
        <v>0.95437500000000042</v>
      </c>
      <c r="R56" s="616"/>
      <c r="S56" s="32">
        <v>0.25972222222222219</v>
      </c>
      <c r="T56" s="32">
        <v>0.29305555555555551</v>
      </c>
      <c r="U56" s="348">
        <f t="shared" ref="U56:U63" si="38">IF(S56=TIME(17,0,0),"",(S56-T55)*24*60)</f>
        <v>6.9999999999999751</v>
      </c>
      <c r="V56" s="356">
        <f t="shared" si="37"/>
        <v>47.999999999999986</v>
      </c>
      <c r="W56" s="16"/>
      <c r="X56" s="16"/>
      <c r="Y56" s="16"/>
      <c r="Z56" s="16"/>
      <c r="AA56" s="612"/>
      <c r="AB56" s="612"/>
      <c r="AC56" s="18"/>
      <c r="AD56" s="18"/>
      <c r="AE56" s="14">
        <f t="shared" si="8"/>
        <v>-91.249999999999318</v>
      </c>
      <c r="AF56" s="353">
        <f t="shared" si="9"/>
        <v>0.95437500000000031</v>
      </c>
      <c r="AG56" s="616"/>
    </row>
    <row r="57" spans="1:33" ht="15.75" customHeight="1">
      <c r="A57" s="621" t="s">
        <v>1835</v>
      </c>
      <c r="B57" s="27" t="s">
        <v>5</v>
      </c>
      <c r="C57" s="605" t="s">
        <v>81</v>
      </c>
      <c r="D57" s="606"/>
      <c r="E57" s="27">
        <v>51.44</v>
      </c>
      <c r="F57" s="30">
        <v>2154</v>
      </c>
      <c r="G57" s="348">
        <f t="shared" si="35"/>
        <v>110801.76</v>
      </c>
      <c r="H57" s="31" t="s">
        <v>40</v>
      </c>
      <c r="I57" s="355">
        <v>25</v>
      </c>
      <c r="J57" s="29">
        <v>2000</v>
      </c>
      <c r="K57" s="12">
        <f t="shared" si="1"/>
        <v>80</v>
      </c>
      <c r="L57" s="355">
        <v>25</v>
      </c>
      <c r="M57" s="13">
        <f t="shared" ref="M57:M63" si="39">F57/V57*60</f>
        <v>1928.9552238805973</v>
      </c>
      <c r="N57" s="13">
        <f t="shared" si="3"/>
        <v>77.158208955223884</v>
      </c>
      <c r="O57" s="14">
        <f t="shared" si="4"/>
        <v>0</v>
      </c>
      <c r="P57" s="15">
        <f t="shared" si="5"/>
        <v>-2.8417910447761159</v>
      </c>
      <c r="Q57" s="353">
        <f t="shared" si="6"/>
        <v>0.96447761194029857</v>
      </c>
      <c r="R57" s="616"/>
      <c r="S57" s="32">
        <v>0.29791666666666661</v>
      </c>
      <c r="T57" s="32">
        <v>0.34444444444444439</v>
      </c>
      <c r="U57" s="348">
        <f t="shared" si="38"/>
        <v>6.9999999999999751</v>
      </c>
      <c r="V57" s="356">
        <f t="shared" si="37"/>
        <v>67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8"/>
        <v>-71.044776119402741</v>
      </c>
      <c r="AF57" s="353">
        <f t="shared" si="9"/>
        <v>0.96447761194029868</v>
      </c>
      <c r="AG57" s="616"/>
    </row>
    <row r="58" spans="1:33" ht="15.75" customHeight="1">
      <c r="A58" s="621" t="s">
        <v>1835</v>
      </c>
      <c r="B58" s="27" t="s">
        <v>8</v>
      </c>
      <c r="C58" s="349" t="s">
        <v>61</v>
      </c>
      <c r="D58" s="350"/>
      <c r="E58" s="27">
        <v>46</v>
      </c>
      <c r="F58" s="30">
        <v>2334</v>
      </c>
      <c r="G58" s="348">
        <f t="shared" si="35"/>
        <v>107364</v>
      </c>
      <c r="H58" s="31" t="s">
        <v>40</v>
      </c>
      <c r="I58" s="355">
        <v>16</v>
      </c>
      <c r="J58" s="29">
        <v>2000</v>
      </c>
      <c r="K58" s="12">
        <f t="shared" si="1"/>
        <v>125</v>
      </c>
      <c r="L58" s="355">
        <v>16</v>
      </c>
      <c r="M58" s="13">
        <f t="shared" si="39"/>
        <v>1918.3561643835621</v>
      </c>
      <c r="N58" s="13">
        <f t="shared" si="3"/>
        <v>119.89726027397263</v>
      </c>
      <c r="O58" s="14">
        <f t="shared" si="4"/>
        <v>0</v>
      </c>
      <c r="P58" s="15">
        <f t="shared" si="5"/>
        <v>-5.1027397260273659</v>
      </c>
      <c r="Q58" s="353">
        <f t="shared" si="6"/>
        <v>0.95917808219178102</v>
      </c>
      <c r="R58" s="616"/>
      <c r="S58" s="32">
        <v>0.34930555555555548</v>
      </c>
      <c r="T58" s="32">
        <v>0.39999999999999991</v>
      </c>
      <c r="U58" s="348">
        <f t="shared" si="38"/>
        <v>6.9999999999999751</v>
      </c>
      <c r="V58" s="356">
        <f t="shared" si="37"/>
        <v>72.999999999999986</v>
      </c>
      <c r="W58" s="16"/>
      <c r="X58" s="16"/>
      <c r="Y58" s="19"/>
      <c r="Z58" s="19"/>
      <c r="AA58" s="612"/>
      <c r="AB58" s="612"/>
      <c r="AC58" s="18"/>
      <c r="AD58" s="18"/>
      <c r="AE58" s="14">
        <f t="shared" si="8"/>
        <v>-81.643835616437855</v>
      </c>
      <c r="AF58" s="353">
        <f t="shared" si="9"/>
        <v>0.95917808219178102</v>
      </c>
      <c r="AG58" s="616"/>
    </row>
    <row r="59" spans="1:33" ht="15.75" customHeight="1">
      <c r="A59" s="621" t="s">
        <v>1835</v>
      </c>
      <c r="B59" s="27" t="s">
        <v>8</v>
      </c>
      <c r="C59" s="349" t="s">
        <v>79</v>
      </c>
      <c r="D59" s="350"/>
      <c r="E59" s="27">
        <v>46</v>
      </c>
      <c r="F59" s="30">
        <v>2647</v>
      </c>
      <c r="G59" s="348">
        <f t="shared" si="35"/>
        <v>121762</v>
      </c>
      <c r="H59" s="31" t="s">
        <v>40</v>
      </c>
      <c r="I59" s="355">
        <v>17</v>
      </c>
      <c r="J59" s="29">
        <v>2000</v>
      </c>
      <c r="K59" s="12">
        <f t="shared" si="1"/>
        <v>117.64705882352941</v>
      </c>
      <c r="L59" s="355">
        <v>17</v>
      </c>
      <c r="M59" s="13">
        <f t="shared" si="39"/>
        <v>1913.4939759036138</v>
      </c>
      <c r="N59" s="13">
        <f t="shared" si="3"/>
        <v>112.55846917080081</v>
      </c>
      <c r="O59" s="14">
        <f t="shared" si="4"/>
        <v>0</v>
      </c>
      <c r="P59" s="15">
        <f t="shared" si="5"/>
        <v>-5.0885896527286008</v>
      </c>
      <c r="Q59" s="353">
        <f t="shared" si="6"/>
        <v>0.9567469879518069</v>
      </c>
      <c r="R59" s="616"/>
      <c r="S59" s="32">
        <v>0.40347222222222212</v>
      </c>
      <c r="T59" s="32">
        <v>0.46111111111111103</v>
      </c>
      <c r="U59" s="348">
        <f t="shared" si="38"/>
        <v>4.9999999999999822</v>
      </c>
      <c r="V59" s="356">
        <f t="shared" si="37"/>
        <v>83.000000000000028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-86.506024096386227</v>
      </c>
      <c r="AF59" s="353">
        <f t="shared" si="9"/>
        <v>0.9567469879518069</v>
      </c>
      <c r="AG59" s="616"/>
    </row>
    <row r="60" spans="1:33" ht="15.75" customHeight="1">
      <c r="A60" s="621" t="s">
        <v>1835</v>
      </c>
      <c r="B60" s="27" t="s">
        <v>5</v>
      </c>
      <c r="C60" s="605" t="s">
        <v>77</v>
      </c>
      <c r="D60" s="606"/>
      <c r="E60" s="27">
        <v>54.09</v>
      </c>
      <c r="F60" s="30">
        <v>1415</v>
      </c>
      <c r="G60" s="348">
        <f t="shared" si="35"/>
        <v>76537.350000000006</v>
      </c>
      <c r="H60" s="31" t="s">
        <v>40</v>
      </c>
      <c r="I60" s="355">
        <v>13</v>
      </c>
      <c r="J60" s="29">
        <v>2000</v>
      </c>
      <c r="K60" s="12">
        <f t="shared" si="1"/>
        <v>153.84615384615384</v>
      </c>
      <c r="L60" s="355">
        <v>13</v>
      </c>
      <c r="M60" s="13">
        <f t="shared" si="39"/>
        <v>1929.5454545454545</v>
      </c>
      <c r="N60" s="13">
        <f t="shared" si="3"/>
        <v>148.42657342657341</v>
      </c>
      <c r="O60" s="14">
        <f t="shared" si="4"/>
        <v>0</v>
      </c>
      <c r="P60" s="15">
        <f t="shared" si="5"/>
        <v>-5.4195804195804271</v>
      </c>
      <c r="Q60" s="353">
        <f t="shared" si="6"/>
        <v>0.96477272727272723</v>
      </c>
      <c r="R60" s="616"/>
      <c r="S60" s="32">
        <v>0.70833333333333337</v>
      </c>
      <c r="T60" s="32">
        <v>0.73888888888888893</v>
      </c>
      <c r="U60" s="348" t="str">
        <f t="shared" si="38"/>
        <v/>
      </c>
      <c r="V60" s="356">
        <f t="shared" si="37"/>
        <v>44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8"/>
        <v>-70.454545454545496</v>
      </c>
      <c r="AF60" s="353">
        <f t="shared" si="9"/>
        <v>0.96477272727272723</v>
      </c>
      <c r="AG60" s="616"/>
    </row>
    <row r="61" spans="1:33" ht="15.75" customHeight="1">
      <c r="A61" s="621" t="s">
        <v>1835</v>
      </c>
      <c r="B61" s="27" t="s">
        <v>5</v>
      </c>
      <c r="C61" s="605" t="s">
        <v>62</v>
      </c>
      <c r="D61" s="606"/>
      <c r="E61" s="27">
        <v>51.06</v>
      </c>
      <c r="F61" s="30">
        <v>1000</v>
      </c>
      <c r="G61" s="348">
        <f t="shared" si="35"/>
        <v>51060</v>
      </c>
      <c r="H61" s="31">
        <v>2</v>
      </c>
      <c r="I61" s="355">
        <v>13</v>
      </c>
      <c r="J61" s="29">
        <v>2000</v>
      </c>
      <c r="K61" s="12">
        <f t="shared" si="1"/>
        <v>153.84615384615384</v>
      </c>
      <c r="L61" s="355">
        <v>13</v>
      </c>
      <c r="M61" s="13">
        <f t="shared" si="39"/>
        <v>1935.483870967739</v>
      </c>
      <c r="N61" s="13">
        <f t="shared" si="3"/>
        <v>148.88337468982607</v>
      </c>
      <c r="O61" s="14">
        <f t="shared" si="4"/>
        <v>0</v>
      </c>
      <c r="P61" s="15">
        <f t="shared" si="5"/>
        <v>-4.9627791563277697</v>
      </c>
      <c r="Q61" s="353">
        <f t="shared" si="6"/>
        <v>0.96774193548386944</v>
      </c>
      <c r="R61" s="616"/>
      <c r="S61" s="32">
        <v>0.74305555555555558</v>
      </c>
      <c r="T61" s="32">
        <v>0.76458333333333339</v>
      </c>
      <c r="U61" s="348">
        <f t="shared" si="38"/>
        <v>5.9999999999999787</v>
      </c>
      <c r="V61" s="356">
        <f t="shared" si="37"/>
        <v>31.00000000000005</v>
      </c>
      <c r="W61" s="16"/>
      <c r="X61" s="16"/>
      <c r="Y61" s="19"/>
      <c r="Z61" s="19"/>
      <c r="AA61" s="607"/>
      <c r="AB61" s="608"/>
      <c r="AC61" s="18"/>
      <c r="AD61" s="18"/>
      <c r="AE61" s="14">
        <f t="shared" si="8"/>
        <v>-64.516129032261006</v>
      </c>
      <c r="AF61" s="353">
        <f t="shared" si="9"/>
        <v>0.96774193548386944</v>
      </c>
      <c r="AG61" s="616"/>
    </row>
    <row r="62" spans="1:33" ht="15.75" customHeight="1">
      <c r="A62" s="621" t="s">
        <v>1835</v>
      </c>
      <c r="B62" s="27" t="s">
        <v>5</v>
      </c>
      <c r="C62" s="605" t="s">
        <v>7</v>
      </c>
      <c r="D62" s="606"/>
      <c r="E62" s="27">
        <v>50.67</v>
      </c>
      <c r="F62" s="30">
        <v>1971</v>
      </c>
      <c r="G62" s="348">
        <f t="shared" si="35"/>
        <v>99870.57</v>
      </c>
      <c r="H62" s="31" t="s">
        <v>40</v>
      </c>
      <c r="I62" s="355">
        <v>15</v>
      </c>
      <c r="J62" s="29">
        <v>2000</v>
      </c>
      <c r="K62" s="12">
        <f t="shared" si="1"/>
        <v>133.33333333333334</v>
      </c>
      <c r="L62" s="355">
        <v>15</v>
      </c>
      <c r="M62" s="13">
        <f t="shared" si="39"/>
        <v>1907.4193548387116</v>
      </c>
      <c r="N62" s="13">
        <f t="shared" si="3"/>
        <v>127.16129032258077</v>
      </c>
      <c r="O62" s="14">
        <f t="shared" si="4"/>
        <v>0</v>
      </c>
      <c r="P62" s="15">
        <f t="shared" si="5"/>
        <v>-6.1720430107525743</v>
      </c>
      <c r="Q62" s="353">
        <f t="shared" si="6"/>
        <v>0.95370967741935575</v>
      </c>
      <c r="R62" s="616"/>
      <c r="S62" s="32">
        <v>0.76944444444444449</v>
      </c>
      <c r="T62" s="32">
        <v>0.8125</v>
      </c>
      <c r="U62" s="348">
        <f t="shared" si="38"/>
        <v>6.9999999999999751</v>
      </c>
      <c r="V62" s="356">
        <f t="shared" si="37"/>
        <v>61.999999999999943</v>
      </c>
      <c r="W62" s="16">
        <f>T62</f>
        <v>0.8125</v>
      </c>
      <c r="X62" s="16">
        <f>S63</f>
        <v>0.85277777777777775</v>
      </c>
      <c r="Y62" s="19"/>
      <c r="Z62" s="19"/>
      <c r="AA62" s="607"/>
      <c r="AB62" s="608"/>
      <c r="AC62" s="18"/>
      <c r="AD62" s="18"/>
      <c r="AE62" s="14">
        <f t="shared" si="8"/>
        <v>-92.58064516128843</v>
      </c>
      <c r="AF62" s="353">
        <f t="shared" si="9"/>
        <v>0.95370967741935575</v>
      </c>
      <c r="AG62" s="616"/>
    </row>
    <row r="63" spans="1:33">
      <c r="A63" s="621" t="s">
        <v>1835</v>
      </c>
      <c r="B63" s="27" t="s">
        <v>5</v>
      </c>
      <c r="C63" s="349" t="s">
        <v>62</v>
      </c>
      <c r="D63" s="350"/>
      <c r="E63" s="27">
        <v>51.06</v>
      </c>
      <c r="F63" s="30">
        <v>2263</v>
      </c>
      <c r="G63" s="348">
        <f t="shared" si="35"/>
        <v>115548.78</v>
      </c>
      <c r="H63" s="31" t="s">
        <v>40</v>
      </c>
      <c r="I63" s="355">
        <v>13</v>
      </c>
      <c r="J63" s="29">
        <v>2000</v>
      </c>
      <c r="K63" s="12">
        <f t="shared" si="1"/>
        <v>153.84615384615384</v>
      </c>
      <c r="L63" s="355">
        <v>13</v>
      </c>
      <c r="M63" s="13">
        <f t="shared" si="39"/>
        <v>1912.3943661971812</v>
      </c>
      <c r="N63" s="13">
        <f t="shared" si="3"/>
        <v>147.10725893824471</v>
      </c>
      <c r="O63" s="14">
        <f t="shared" si="4"/>
        <v>0</v>
      </c>
      <c r="P63" s="15">
        <f t="shared" si="5"/>
        <v>-6.7388949079091276</v>
      </c>
      <c r="Q63" s="353">
        <f t="shared" si="6"/>
        <v>0.9561971830985907</v>
      </c>
      <c r="R63" s="616"/>
      <c r="S63" s="32">
        <v>0.85277777777777775</v>
      </c>
      <c r="T63" s="32">
        <v>0.90208333333333335</v>
      </c>
      <c r="U63" s="348">
        <f t="shared" si="38"/>
        <v>57.999999999999957</v>
      </c>
      <c r="V63" s="356">
        <f t="shared" si="37"/>
        <v>71.000000000000071</v>
      </c>
      <c r="W63" s="16"/>
      <c r="X63" s="16"/>
      <c r="Y63" s="19"/>
      <c r="Z63" s="19"/>
      <c r="AA63" s="351"/>
      <c r="AB63" s="352"/>
      <c r="AC63" s="18"/>
      <c r="AD63" s="18"/>
      <c r="AE63" s="14">
        <f t="shared" si="8"/>
        <v>-87.605633802818829</v>
      </c>
      <c r="AF63" s="353">
        <f t="shared" si="9"/>
        <v>0.95619718309859059</v>
      </c>
      <c r="AG63" s="616"/>
    </row>
    <row r="64" spans="1:33">
      <c r="A64" s="622" t="s">
        <v>1835</v>
      </c>
      <c r="B64" s="27" t="s">
        <v>1834</v>
      </c>
      <c r="C64" s="658"/>
      <c r="D64" s="658"/>
      <c r="E64" s="354"/>
      <c r="F64" s="28"/>
      <c r="G64" s="12"/>
      <c r="H64" s="357"/>
      <c r="I64" s="21">
        <v>17</v>
      </c>
      <c r="J64" s="29">
        <v>2000</v>
      </c>
      <c r="K64" s="12">
        <f t="shared" si="1"/>
        <v>117.64705882352941</v>
      </c>
      <c r="L64" s="21">
        <v>17</v>
      </c>
      <c r="M64" s="13">
        <f>AVERAGE(M55:M63)</f>
        <v>1918.0840688524538</v>
      </c>
      <c r="N64" s="12">
        <f t="shared" si="3"/>
        <v>112.82847463837963</v>
      </c>
      <c r="O64" s="14">
        <f t="shared" si="4"/>
        <v>0</v>
      </c>
      <c r="P64" s="15">
        <f t="shared" si="5"/>
        <v>-4.8185841851497742</v>
      </c>
      <c r="Q64" s="353">
        <f t="shared" si="6"/>
        <v>0.95904203442622693</v>
      </c>
      <c r="R64" s="616"/>
      <c r="S64" s="32"/>
      <c r="T64" s="32"/>
      <c r="U64" s="348"/>
      <c r="V64" s="356"/>
      <c r="W64" s="12"/>
      <c r="X64" s="12"/>
      <c r="Y64" s="22">
        <f>SUM(Y55:Y63)</f>
        <v>0</v>
      </c>
      <c r="Z64" s="22">
        <f>SUM(Z55:Z63)</f>
        <v>0</v>
      </c>
      <c r="AA64" s="611"/>
      <c r="AB64" s="611"/>
      <c r="AC64" s="22">
        <v>9</v>
      </c>
      <c r="AD64" s="22">
        <f>SUM(AD55:AD63)</f>
        <v>0</v>
      </c>
      <c r="AE64" s="14">
        <f>M64-J64</f>
        <v>-81.915931147546189</v>
      </c>
      <c r="AF64" s="353">
        <f t="shared" si="9"/>
        <v>0.95904203442622693</v>
      </c>
      <c r="AG64" s="616"/>
    </row>
    <row r="65" spans="1:33" ht="15.75" customHeight="1">
      <c r="A65" s="617" t="s">
        <v>1836</v>
      </c>
      <c r="B65" s="357" t="s">
        <v>27</v>
      </c>
      <c r="C65" s="660" t="s">
        <v>28</v>
      </c>
      <c r="D65" s="660"/>
      <c r="E65" s="27">
        <v>35.119999999999997</v>
      </c>
      <c r="F65" s="30">
        <v>5225</v>
      </c>
      <c r="G65" s="348">
        <f t="shared" ref="G65:G68" si="40">E65*F65</f>
        <v>183502</v>
      </c>
      <c r="H65" s="31" t="s">
        <v>40</v>
      </c>
      <c r="I65" s="355">
        <v>10</v>
      </c>
      <c r="J65" s="29">
        <v>3000</v>
      </c>
      <c r="K65" s="12">
        <f t="shared" si="1"/>
        <v>300</v>
      </c>
      <c r="L65" s="355">
        <v>10</v>
      </c>
      <c r="M65" s="13">
        <f t="shared" ref="M65:M68" si="41">F65/V65*60</f>
        <v>2876.1467889908263</v>
      </c>
      <c r="N65" s="12">
        <f t="shared" si="3"/>
        <v>287.61467889908261</v>
      </c>
      <c r="O65" s="14">
        <f t="shared" si="4"/>
        <v>0</v>
      </c>
      <c r="P65" s="15">
        <f t="shared" si="5"/>
        <v>-12.385321100917395</v>
      </c>
      <c r="Q65" s="353">
        <f t="shared" si="6"/>
        <v>0.95871559633027537</v>
      </c>
      <c r="R65" s="616">
        <f>Q69</f>
        <v>0.96212072138024884</v>
      </c>
      <c r="S65" s="32">
        <v>0.20833333333333334</v>
      </c>
      <c r="T65" s="32">
        <v>0.28402777777777777</v>
      </c>
      <c r="U65" s="348"/>
      <c r="V65" s="356">
        <f t="shared" ref="V65:V68" si="42">(T65-S65)*24*60</f>
        <v>108.99999999999997</v>
      </c>
      <c r="W65" s="16"/>
      <c r="X65" s="16"/>
      <c r="Y65" s="20"/>
      <c r="Z65" s="20"/>
      <c r="AA65" s="612"/>
      <c r="AB65" s="612"/>
      <c r="AC65" s="18">
        <v>4</v>
      </c>
      <c r="AD65" s="18"/>
      <c r="AE65" s="14">
        <f t="shared" ref="AE65:AE79" si="43">M65-J65</f>
        <v>-123.85321100917372</v>
      </c>
      <c r="AF65" s="353">
        <f t="shared" si="9"/>
        <v>0.95871559633027548</v>
      </c>
      <c r="AG65" s="616">
        <f>AF69</f>
        <v>0.96212072138024873</v>
      </c>
    </row>
    <row r="66" spans="1:33" ht="15.75" customHeight="1">
      <c r="A66" s="617" t="s">
        <v>1836</v>
      </c>
      <c r="B66" s="357" t="s">
        <v>27</v>
      </c>
      <c r="C66" s="660" t="s">
        <v>34</v>
      </c>
      <c r="D66" s="660"/>
      <c r="E66" s="27">
        <v>26.78</v>
      </c>
      <c r="F66" s="30">
        <v>2741</v>
      </c>
      <c r="G66" s="348">
        <f t="shared" si="40"/>
        <v>73403.98</v>
      </c>
      <c r="H66" s="31" t="s">
        <v>40</v>
      </c>
      <c r="I66" s="355">
        <v>10</v>
      </c>
      <c r="J66" s="29">
        <v>3000</v>
      </c>
      <c r="K66" s="12">
        <f t="shared" si="1"/>
        <v>300</v>
      </c>
      <c r="L66" s="355">
        <v>10</v>
      </c>
      <c r="M66" s="13">
        <f t="shared" si="41"/>
        <v>2885.2631578947389</v>
      </c>
      <c r="N66" s="12">
        <f t="shared" si="3"/>
        <v>288.52631578947387</v>
      </c>
      <c r="O66" s="14">
        <f t="shared" si="4"/>
        <v>0</v>
      </c>
      <c r="P66" s="15">
        <f t="shared" si="5"/>
        <v>-11.47368421052613</v>
      </c>
      <c r="Q66" s="353">
        <f t="shared" si="6"/>
        <v>0.96175438596491292</v>
      </c>
      <c r="R66" s="616"/>
      <c r="S66" s="32">
        <v>0.28749999999999998</v>
      </c>
      <c r="T66" s="32">
        <v>0.32708333333333328</v>
      </c>
      <c r="U66" s="348">
        <f t="shared" ref="U66:U68" si="44">(S66-T65)*24*60</f>
        <v>4.9999999999999822</v>
      </c>
      <c r="V66" s="356">
        <f t="shared" si="42"/>
        <v>56.999999999999957</v>
      </c>
      <c r="W66" s="348"/>
      <c r="X66" s="348"/>
      <c r="Y66" s="348"/>
      <c r="Z66" s="348"/>
      <c r="AA66" s="612"/>
      <c r="AB66" s="612"/>
      <c r="AC66" s="18"/>
      <c r="AD66" s="18"/>
      <c r="AE66" s="14">
        <f t="shared" si="43"/>
        <v>-114.73684210526108</v>
      </c>
      <c r="AF66" s="353">
        <f t="shared" si="9"/>
        <v>0.96175438596491303</v>
      </c>
      <c r="AG66" s="616"/>
    </row>
    <row r="67" spans="1:33" ht="15.75" customHeight="1">
      <c r="A67" s="617" t="s">
        <v>1836</v>
      </c>
      <c r="B67" s="357" t="s">
        <v>27</v>
      </c>
      <c r="C67" s="660" t="s">
        <v>36</v>
      </c>
      <c r="D67" s="660"/>
      <c r="E67" s="27">
        <v>34.35</v>
      </c>
      <c r="F67" s="30">
        <v>1208</v>
      </c>
      <c r="G67" s="348">
        <f t="shared" si="40"/>
        <v>41494.800000000003</v>
      </c>
      <c r="H67" s="31" t="s">
        <v>40</v>
      </c>
      <c r="I67" s="355">
        <v>8</v>
      </c>
      <c r="J67" s="29">
        <v>3000</v>
      </c>
      <c r="K67" s="12">
        <f t="shared" si="1"/>
        <v>375</v>
      </c>
      <c r="L67" s="355">
        <v>8</v>
      </c>
      <c r="M67" s="13">
        <f t="shared" si="41"/>
        <v>2899.2000000000007</v>
      </c>
      <c r="N67" s="12">
        <f t="shared" si="3"/>
        <v>362.40000000000009</v>
      </c>
      <c r="O67" s="14">
        <f t="shared" si="4"/>
        <v>0</v>
      </c>
      <c r="P67" s="15">
        <f t="shared" si="5"/>
        <v>-12.599999999999909</v>
      </c>
      <c r="Q67" s="353">
        <f t="shared" si="6"/>
        <v>0.96640000000000026</v>
      </c>
      <c r="R67" s="616"/>
      <c r="S67" s="32">
        <v>0.33263888888888882</v>
      </c>
      <c r="T67" s="32">
        <v>0.34999999999999992</v>
      </c>
      <c r="U67" s="348">
        <f t="shared" si="44"/>
        <v>7.9999999999999716</v>
      </c>
      <c r="V67" s="356">
        <f t="shared" si="42"/>
        <v>24.999999999999993</v>
      </c>
      <c r="W67" s="348"/>
      <c r="X67" s="348"/>
      <c r="Y67" s="348"/>
      <c r="Z67" s="348"/>
      <c r="AA67" s="612"/>
      <c r="AB67" s="612"/>
      <c r="AC67" s="18"/>
      <c r="AD67" s="18"/>
      <c r="AE67" s="14">
        <f t="shared" si="43"/>
        <v>-100.79999999999927</v>
      </c>
      <c r="AF67" s="353">
        <f t="shared" si="9"/>
        <v>0.96640000000000026</v>
      </c>
      <c r="AG67" s="616"/>
    </row>
    <row r="68" spans="1:33" ht="15.75" customHeight="1">
      <c r="A68" s="617" t="s">
        <v>1836</v>
      </c>
      <c r="B68" s="357" t="s">
        <v>27</v>
      </c>
      <c r="C68" s="660" t="s">
        <v>737</v>
      </c>
      <c r="D68" s="660"/>
      <c r="E68" s="27">
        <v>36.14</v>
      </c>
      <c r="F68" s="30">
        <v>2981</v>
      </c>
      <c r="G68" s="348">
        <f t="shared" si="40"/>
        <v>107733.34</v>
      </c>
      <c r="H68" s="31" t="s">
        <v>40</v>
      </c>
      <c r="I68" s="355">
        <v>11</v>
      </c>
      <c r="J68" s="29">
        <v>3000</v>
      </c>
      <c r="K68" s="12">
        <f t="shared" si="1"/>
        <v>272.72727272727275</v>
      </c>
      <c r="L68" s="355">
        <v>11</v>
      </c>
      <c r="M68" s="13">
        <f t="shared" si="41"/>
        <v>2884.8387096774186</v>
      </c>
      <c r="N68" s="12">
        <f t="shared" si="3"/>
        <v>262.25806451612897</v>
      </c>
      <c r="O68" s="14">
        <f t="shared" si="4"/>
        <v>0</v>
      </c>
      <c r="P68" s="15">
        <f t="shared" si="5"/>
        <v>-10.46920821114378</v>
      </c>
      <c r="Q68" s="353">
        <f t="shared" si="6"/>
        <v>0.96161290322580617</v>
      </c>
      <c r="R68" s="616"/>
      <c r="S68" s="32">
        <v>0.35347222222222213</v>
      </c>
      <c r="T68" s="32">
        <v>0.3965277777777777</v>
      </c>
      <c r="U68" s="348">
        <f t="shared" si="44"/>
        <v>4.9999999999999822</v>
      </c>
      <c r="V68" s="356">
        <f t="shared" si="42"/>
        <v>62.000000000000021</v>
      </c>
      <c r="W68" s="348"/>
      <c r="X68" s="348"/>
      <c r="Y68" s="348"/>
      <c r="Z68" s="348"/>
      <c r="AA68" s="612"/>
      <c r="AB68" s="612"/>
      <c r="AC68" s="18"/>
      <c r="AD68" s="18"/>
      <c r="AE68" s="14">
        <f t="shared" si="43"/>
        <v>-115.16129032258141</v>
      </c>
      <c r="AF68" s="353">
        <f t="shared" si="9"/>
        <v>0.96161290322580617</v>
      </c>
      <c r="AG68" s="616"/>
    </row>
    <row r="69" spans="1:33">
      <c r="A69" s="618" t="s">
        <v>1836</v>
      </c>
      <c r="B69" s="27" t="s">
        <v>1834</v>
      </c>
      <c r="C69" s="658"/>
      <c r="D69" s="658"/>
      <c r="E69" s="354"/>
      <c r="F69" s="28"/>
      <c r="G69" s="12"/>
      <c r="H69" s="357"/>
      <c r="I69" s="21">
        <v>9.75</v>
      </c>
      <c r="J69" s="29">
        <v>3000</v>
      </c>
      <c r="K69" s="12">
        <f t="shared" ref="K69:K79" si="45">J69/I69</f>
        <v>307.69230769230768</v>
      </c>
      <c r="L69" s="21">
        <v>9.75</v>
      </c>
      <c r="M69" s="13">
        <f>AVERAGE(M65:M68)</f>
        <v>2886.3621641407462</v>
      </c>
      <c r="N69" s="12">
        <f t="shared" ref="N69:N79" si="46">M69/L69</f>
        <v>296.03714504007655</v>
      </c>
      <c r="O69" s="14">
        <f t="shared" ref="O69:O79" si="47">L69-I69</f>
        <v>0</v>
      </c>
      <c r="P69" s="15">
        <f t="shared" ref="P69:P79" si="48">N69-K69</f>
        <v>-11.655162652231127</v>
      </c>
      <c r="Q69" s="353">
        <f t="shared" ref="Q69:Q79" si="49">N69/K69</f>
        <v>0.96212072138024884</v>
      </c>
      <c r="R69" s="616"/>
      <c r="S69" s="32"/>
      <c r="T69" s="32"/>
      <c r="U69" s="12"/>
      <c r="V69" s="356"/>
      <c r="W69" s="12"/>
      <c r="X69" s="12"/>
      <c r="Y69" s="22">
        <f>SUM(Y65:Y68)</f>
        <v>0</v>
      </c>
      <c r="Z69" s="22">
        <f>SUM(Z65:Z68)</f>
        <v>0</v>
      </c>
      <c r="AA69" s="611"/>
      <c r="AB69" s="611"/>
      <c r="AC69" s="22">
        <v>4</v>
      </c>
      <c r="AD69" s="22">
        <f>SUM(AD65:AD68)</f>
        <v>0</v>
      </c>
      <c r="AE69" s="14">
        <f t="shared" si="43"/>
        <v>-113.63783585925376</v>
      </c>
      <c r="AF69" s="353">
        <f t="shared" ref="AF69:AF79" si="50">M69/J69</f>
        <v>0.96212072138024873</v>
      </c>
      <c r="AG69" s="616"/>
    </row>
    <row r="70" spans="1:33" ht="15.75" customHeight="1">
      <c r="A70" s="613" t="s">
        <v>1837</v>
      </c>
      <c r="B70" s="357" t="s">
        <v>20</v>
      </c>
      <c r="C70" s="660" t="s">
        <v>39</v>
      </c>
      <c r="D70" s="660"/>
      <c r="E70" s="27">
        <v>19.02</v>
      </c>
      <c r="F70" s="357">
        <v>5700</v>
      </c>
      <c r="G70" s="348">
        <f t="shared" ref="G70:G78" si="51">E70*F70</f>
        <v>108414</v>
      </c>
      <c r="H70" s="31">
        <v>3</v>
      </c>
      <c r="I70" s="355">
        <v>14</v>
      </c>
      <c r="J70" s="29">
        <v>2400</v>
      </c>
      <c r="K70" s="12">
        <f t="shared" si="45"/>
        <v>171.42857142857142</v>
      </c>
      <c r="L70" s="355">
        <v>14</v>
      </c>
      <c r="M70" s="13">
        <f t="shared" ref="M70:M78" si="52">F70/V70*60</f>
        <v>2295.3020134228186</v>
      </c>
      <c r="N70" s="12">
        <f t="shared" si="46"/>
        <v>163.95014381591562</v>
      </c>
      <c r="O70" s="14">
        <f t="shared" si="47"/>
        <v>0</v>
      </c>
      <c r="P70" s="15">
        <f t="shared" si="48"/>
        <v>-7.4784276126557927</v>
      </c>
      <c r="Q70" s="353">
        <f t="shared" si="49"/>
        <v>0.9563758389261745</v>
      </c>
      <c r="R70" s="616">
        <f>Q79</f>
        <v>0.95695368937946634</v>
      </c>
      <c r="S70" s="32">
        <v>8.3333333333333329E-2</v>
      </c>
      <c r="T70" s="32">
        <v>0.18680555555555556</v>
      </c>
      <c r="U70" s="20"/>
      <c r="V70" s="356">
        <f t="shared" ref="V70:V78" si="53">(T70-S70)*24*60</f>
        <v>149</v>
      </c>
      <c r="W70" s="16">
        <f>T70</f>
        <v>0.18680555555555556</v>
      </c>
      <c r="X70" s="16">
        <f>S71</f>
        <v>0.20694444444444446</v>
      </c>
      <c r="Y70" s="16"/>
      <c r="Z70" s="16"/>
      <c r="AA70" s="612"/>
      <c r="AB70" s="612"/>
      <c r="AC70" s="18">
        <v>9</v>
      </c>
      <c r="AD70" s="18"/>
      <c r="AE70" s="14">
        <f t="shared" si="43"/>
        <v>-104.69798657718138</v>
      </c>
      <c r="AF70" s="353">
        <f t="shared" si="50"/>
        <v>0.95637583892617439</v>
      </c>
      <c r="AG70" s="616">
        <f>AF79</f>
        <v>0.95695368937946645</v>
      </c>
    </row>
    <row r="71" spans="1:33" ht="15.75" customHeight="1">
      <c r="A71" s="614" t="s">
        <v>1837</v>
      </c>
      <c r="B71" s="357" t="s">
        <v>20</v>
      </c>
      <c r="C71" s="660" t="s">
        <v>24</v>
      </c>
      <c r="D71" s="660"/>
      <c r="E71" s="27">
        <v>20.36</v>
      </c>
      <c r="F71" s="357">
        <v>2800</v>
      </c>
      <c r="G71" s="348">
        <f t="shared" si="51"/>
        <v>57008</v>
      </c>
      <c r="H71" s="31">
        <v>2</v>
      </c>
      <c r="I71" s="355">
        <v>17</v>
      </c>
      <c r="J71" s="29">
        <v>2400</v>
      </c>
      <c r="K71" s="12">
        <f t="shared" si="45"/>
        <v>141.1764705882353</v>
      </c>
      <c r="L71" s="355">
        <v>17</v>
      </c>
      <c r="M71" s="13">
        <f t="shared" si="52"/>
        <v>2301.3698630136978</v>
      </c>
      <c r="N71" s="12">
        <f t="shared" si="46"/>
        <v>135.37469782433516</v>
      </c>
      <c r="O71" s="14">
        <f t="shared" si="47"/>
        <v>0</v>
      </c>
      <c r="P71" s="15">
        <f t="shared" si="48"/>
        <v>-5.8017727639001464</v>
      </c>
      <c r="Q71" s="353">
        <f t="shared" si="49"/>
        <v>0.9589041095890406</v>
      </c>
      <c r="R71" s="616"/>
      <c r="S71" s="32">
        <v>0.20694444444444446</v>
      </c>
      <c r="T71" s="32">
        <v>0.25763888888888892</v>
      </c>
      <c r="U71" s="348">
        <f t="shared" ref="U71:U78" si="54">(S71-T70)*24*60</f>
        <v>29.000000000000018</v>
      </c>
      <c r="V71" s="356">
        <f t="shared" si="53"/>
        <v>73.000000000000014</v>
      </c>
      <c r="W71" s="16"/>
      <c r="X71" s="16"/>
      <c r="Y71" s="16"/>
      <c r="Z71" s="16"/>
      <c r="AA71" s="612"/>
      <c r="AB71" s="612"/>
      <c r="AC71" s="18"/>
      <c r="AD71" s="18"/>
      <c r="AE71" s="14">
        <f t="shared" si="43"/>
        <v>-98.630136986302205</v>
      </c>
      <c r="AF71" s="353">
        <f t="shared" si="50"/>
        <v>0.95890410958904071</v>
      </c>
      <c r="AG71" s="616"/>
    </row>
    <row r="72" spans="1:33" ht="15.75" customHeight="1">
      <c r="A72" s="614" t="s">
        <v>1837</v>
      </c>
      <c r="B72" s="357" t="s">
        <v>20</v>
      </c>
      <c r="C72" s="660" t="s">
        <v>80</v>
      </c>
      <c r="D72" s="660"/>
      <c r="E72" s="27">
        <v>25.98</v>
      </c>
      <c r="F72" s="357">
        <v>3848</v>
      </c>
      <c r="G72" s="348">
        <f t="shared" si="51"/>
        <v>99971.040000000008</v>
      </c>
      <c r="H72" s="31" t="s">
        <v>40</v>
      </c>
      <c r="I72" s="355">
        <v>17</v>
      </c>
      <c r="J72" s="29">
        <v>2400</v>
      </c>
      <c r="K72" s="12">
        <f t="shared" si="45"/>
        <v>141.1764705882353</v>
      </c>
      <c r="L72" s="355">
        <v>17</v>
      </c>
      <c r="M72" s="13">
        <f t="shared" si="52"/>
        <v>2285.9405940594052</v>
      </c>
      <c r="N72" s="12">
        <f t="shared" si="46"/>
        <v>134.4670937682003</v>
      </c>
      <c r="O72" s="14">
        <f t="shared" si="47"/>
        <v>0</v>
      </c>
      <c r="P72" s="15">
        <f t="shared" si="48"/>
        <v>-6.7093768200350041</v>
      </c>
      <c r="Q72" s="353">
        <f t="shared" si="49"/>
        <v>0.9524752475247521</v>
      </c>
      <c r="R72" s="616"/>
      <c r="S72" s="32">
        <v>0.26180555555555557</v>
      </c>
      <c r="T72" s="32">
        <v>0.33194444444444449</v>
      </c>
      <c r="U72" s="348">
        <f t="shared" si="54"/>
        <v>5.9999999999999787</v>
      </c>
      <c r="V72" s="356">
        <f t="shared" si="53"/>
        <v>101.00000000000004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-114.05940594059484</v>
      </c>
      <c r="AF72" s="353">
        <f t="shared" si="50"/>
        <v>0.9524752475247521</v>
      </c>
      <c r="AG72" s="616"/>
    </row>
    <row r="73" spans="1:33" ht="15.75" customHeight="1">
      <c r="A73" s="614" t="s">
        <v>1837</v>
      </c>
      <c r="B73" s="357" t="s">
        <v>20</v>
      </c>
      <c r="C73" s="660" t="s">
        <v>739</v>
      </c>
      <c r="D73" s="660"/>
      <c r="E73" s="27">
        <v>28.29</v>
      </c>
      <c r="F73" s="357">
        <v>3500</v>
      </c>
      <c r="G73" s="348">
        <f t="shared" si="51"/>
        <v>99015</v>
      </c>
      <c r="H73" s="31">
        <v>2</v>
      </c>
      <c r="I73" s="355">
        <v>21</v>
      </c>
      <c r="J73" s="29">
        <v>2400</v>
      </c>
      <c r="K73" s="12">
        <f t="shared" si="45"/>
        <v>114.28571428571429</v>
      </c>
      <c r="L73" s="355">
        <v>21</v>
      </c>
      <c r="M73" s="13">
        <f t="shared" si="52"/>
        <v>2307.6923076923076</v>
      </c>
      <c r="N73" s="12">
        <f t="shared" si="46"/>
        <v>109.89010989010988</v>
      </c>
      <c r="O73" s="14">
        <f t="shared" si="47"/>
        <v>0</v>
      </c>
      <c r="P73" s="15">
        <f t="shared" si="48"/>
        <v>-4.3956043956044084</v>
      </c>
      <c r="Q73" s="353">
        <f t="shared" si="49"/>
        <v>0.96153846153846145</v>
      </c>
      <c r="R73" s="616"/>
      <c r="S73" s="32">
        <v>0.3354166666666667</v>
      </c>
      <c r="T73" s="32">
        <v>0.39861111111111114</v>
      </c>
      <c r="U73" s="348">
        <f t="shared" si="54"/>
        <v>4.9999999999999822</v>
      </c>
      <c r="V73" s="356">
        <f t="shared" si="53"/>
        <v>91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-92.307692307692378</v>
      </c>
      <c r="AF73" s="353">
        <f t="shared" si="50"/>
        <v>0.96153846153846156</v>
      </c>
      <c r="AG73" s="616"/>
    </row>
    <row r="74" spans="1:33" ht="15.75" customHeight="1">
      <c r="A74" s="614" t="s">
        <v>1837</v>
      </c>
      <c r="B74" s="357" t="s">
        <v>20</v>
      </c>
      <c r="C74" s="660" t="s">
        <v>1420</v>
      </c>
      <c r="D74" s="660"/>
      <c r="E74" s="27">
        <v>24.25</v>
      </c>
      <c r="F74" s="357">
        <v>5100</v>
      </c>
      <c r="G74" s="348">
        <f t="shared" si="51"/>
        <v>123675</v>
      </c>
      <c r="H74" s="31">
        <v>2</v>
      </c>
      <c r="I74" s="355">
        <v>17</v>
      </c>
      <c r="J74" s="29">
        <v>2400</v>
      </c>
      <c r="K74" s="12">
        <f t="shared" si="45"/>
        <v>141.1764705882353</v>
      </c>
      <c r="L74" s="355">
        <v>17</v>
      </c>
      <c r="M74" s="13">
        <f t="shared" si="52"/>
        <v>2300.7518796992481</v>
      </c>
      <c r="N74" s="12">
        <f t="shared" si="46"/>
        <v>135.33834586466165</v>
      </c>
      <c r="O74" s="14">
        <f t="shared" si="47"/>
        <v>0</v>
      </c>
      <c r="P74" s="15">
        <f t="shared" si="48"/>
        <v>-5.8381247235736566</v>
      </c>
      <c r="Q74" s="353">
        <f t="shared" si="49"/>
        <v>0.9586466165413533</v>
      </c>
      <c r="R74" s="616"/>
      <c r="S74" s="32">
        <v>0.40347222222222223</v>
      </c>
      <c r="T74" s="32">
        <v>0.49583333333333335</v>
      </c>
      <c r="U74" s="348">
        <f t="shared" si="54"/>
        <v>6.9999999999999751</v>
      </c>
      <c r="V74" s="356">
        <f t="shared" si="53"/>
        <v>133</v>
      </c>
      <c r="W74" s="16">
        <f>T74</f>
        <v>0.49583333333333335</v>
      </c>
      <c r="X74" s="16">
        <f>S75</f>
        <v>0.53611111111111109</v>
      </c>
      <c r="Y74" s="16"/>
      <c r="Z74" s="16"/>
      <c r="AA74" s="612"/>
      <c r="AB74" s="612"/>
      <c r="AC74" s="18"/>
      <c r="AD74" s="18"/>
      <c r="AE74" s="14">
        <f t="shared" si="43"/>
        <v>-99.248120300751907</v>
      </c>
      <c r="AF74" s="353">
        <f t="shared" si="50"/>
        <v>0.95864661654135341</v>
      </c>
      <c r="AG74" s="616"/>
    </row>
    <row r="75" spans="1:33" ht="15.75" customHeight="1">
      <c r="A75" s="614" t="s">
        <v>1837</v>
      </c>
      <c r="B75" s="357" t="s">
        <v>20</v>
      </c>
      <c r="C75" s="660" t="s">
        <v>39</v>
      </c>
      <c r="D75" s="660"/>
      <c r="E75" s="27">
        <v>19.02</v>
      </c>
      <c r="F75" s="357">
        <v>3500</v>
      </c>
      <c r="G75" s="348">
        <f t="shared" si="51"/>
        <v>66570</v>
      </c>
      <c r="H75" s="31" t="s">
        <v>40</v>
      </c>
      <c r="I75" s="355">
        <v>14</v>
      </c>
      <c r="J75" s="29">
        <v>2400</v>
      </c>
      <c r="K75" s="12">
        <f t="shared" si="45"/>
        <v>171.42857142857142</v>
      </c>
      <c r="L75" s="355">
        <v>14</v>
      </c>
      <c r="M75" s="13">
        <f t="shared" si="52"/>
        <v>2282.608695652174</v>
      </c>
      <c r="N75" s="12">
        <f t="shared" si="46"/>
        <v>163.04347826086956</v>
      </c>
      <c r="O75" s="14">
        <f t="shared" si="47"/>
        <v>0</v>
      </c>
      <c r="P75" s="15">
        <f t="shared" si="48"/>
        <v>-8.3850931677018536</v>
      </c>
      <c r="Q75" s="353">
        <f t="shared" si="49"/>
        <v>0.95108695652173914</v>
      </c>
      <c r="R75" s="616"/>
      <c r="S75" s="32">
        <v>0.53611111111111109</v>
      </c>
      <c r="T75" s="32">
        <v>0.6</v>
      </c>
      <c r="U75" s="348">
        <f t="shared" si="54"/>
        <v>57.999999999999957</v>
      </c>
      <c r="V75" s="356">
        <f t="shared" si="53"/>
        <v>92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-117.39130434782601</v>
      </c>
      <c r="AF75" s="353">
        <f t="shared" si="50"/>
        <v>0.95108695652173914</v>
      </c>
      <c r="AG75" s="616"/>
    </row>
    <row r="76" spans="1:33" ht="15.75" customHeight="1">
      <c r="A76" s="614" t="s">
        <v>1837</v>
      </c>
      <c r="B76" s="357" t="s">
        <v>20</v>
      </c>
      <c r="C76" s="605" t="s">
        <v>739</v>
      </c>
      <c r="D76" s="606"/>
      <c r="E76" s="27">
        <v>28.29</v>
      </c>
      <c r="F76" s="357">
        <v>2740</v>
      </c>
      <c r="G76" s="348">
        <f t="shared" si="51"/>
        <v>77514.599999999991</v>
      </c>
      <c r="H76" s="31" t="s">
        <v>40</v>
      </c>
      <c r="I76" s="355">
        <v>21</v>
      </c>
      <c r="J76" s="29">
        <v>2400</v>
      </c>
      <c r="K76" s="12">
        <f t="shared" si="45"/>
        <v>114.28571428571429</v>
      </c>
      <c r="L76" s="355">
        <v>21</v>
      </c>
      <c r="M76" s="13">
        <f t="shared" si="52"/>
        <v>2315.4929577464768</v>
      </c>
      <c r="N76" s="12">
        <f t="shared" si="46"/>
        <v>110.2615694164989</v>
      </c>
      <c r="O76" s="14">
        <f t="shared" si="47"/>
        <v>0</v>
      </c>
      <c r="P76" s="15">
        <f t="shared" si="48"/>
        <v>-4.0241448692153909</v>
      </c>
      <c r="Q76" s="353">
        <f t="shared" si="49"/>
        <v>0.96478873239436536</v>
      </c>
      <c r="R76" s="616"/>
      <c r="S76" s="32">
        <v>0.60486111111111107</v>
      </c>
      <c r="T76" s="32">
        <v>0.65416666666666667</v>
      </c>
      <c r="U76" s="348">
        <f t="shared" si="54"/>
        <v>6.9999999999999751</v>
      </c>
      <c r="V76" s="356">
        <f t="shared" si="53"/>
        <v>71.000000000000071</v>
      </c>
      <c r="W76" s="16"/>
      <c r="X76" s="16"/>
      <c r="Y76" s="19"/>
      <c r="Z76" s="19"/>
      <c r="AA76" s="607"/>
      <c r="AB76" s="608"/>
      <c r="AC76" s="18"/>
      <c r="AD76" s="18"/>
      <c r="AE76" s="14">
        <f t="shared" si="43"/>
        <v>-84.507042253523196</v>
      </c>
      <c r="AF76" s="353">
        <f t="shared" si="50"/>
        <v>0.96478873239436536</v>
      </c>
      <c r="AG76" s="616"/>
    </row>
    <row r="77" spans="1:33" ht="15.75" customHeight="1">
      <c r="A77" s="614" t="s">
        <v>1837</v>
      </c>
      <c r="B77" s="357" t="s">
        <v>20</v>
      </c>
      <c r="C77" s="605" t="s">
        <v>1420</v>
      </c>
      <c r="D77" s="606"/>
      <c r="E77" s="27">
        <v>24.25</v>
      </c>
      <c r="F77" s="357">
        <v>3823</v>
      </c>
      <c r="G77" s="348">
        <f t="shared" si="51"/>
        <v>92707.75</v>
      </c>
      <c r="H77" s="31" t="s">
        <v>40</v>
      </c>
      <c r="I77" s="355">
        <v>17</v>
      </c>
      <c r="J77" s="29">
        <v>2400</v>
      </c>
      <c r="K77" s="12">
        <f t="shared" si="45"/>
        <v>141.1764705882353</v>
      </c>
      <c r="L77" s="355">
        <v>17</v>
      </c>
      <c r="M77" s="13">
        <f t="shared" si="52"/>
        <v>2293.8000000000006</v>
      </c>
      <c r="N77" s="12">
        <f t="shared" si="46"/>
        <v>134.92941176470592</v>
      </c>
      <c r="O77" s="14">
        <f t="shared" si="47"/>
        <v>0</v>
      </c>
      <c r="P77" s="15">
        <f t="shared" si="48"/>
        <v>-6.247058823529386</v>
      </c>
      <c r="Q77" s="353">
        <f t="shared" si="49"/>
        <v>0.95575000000000021</v>
      </c>
      <c r="R77" s="616"/>
      <c r="S77" s="32">
        <v>0.65833333333333333</v>
      </c>
      <c r="T77" s="32">
        <v>0.72777777777777775</v>
      </c>
      <c r="U77" s="348">
        <f t="shared" si="54"/>
        <v>5.9999999999999787</v>
      </c>
      <c r="V77" s="356">
        <f t="shared" si="53"/>
        <v>99.999999999999972</v>
      </c>
      <c r="W77" s="16"/>
      <c r="X77" s="16"/>
      <c r="Y77" s="19"/>
      <c r="Z77" s="19"/>
      <c r="AA77" s="607"/>
      <c r="AB77" s="608"/>
      <c r="AC77" s="18"/>
      <c r="AD77" s="18"/>
      <c r="AE77" s="14">
        <f t="shared" si="43"/>
        <v>-106.19999999999936</v>
      </c>
      <c r="AF77" s="353">
        <f t="shared" si="50"/>
        <v>0.95575000000000021</v>
      </c>
      <c r="AG77" s="616"/>
    </row>
    <row r="78" spans="1:33" ht="15.75" customHeight="1">
      <c r="A78" s="614" t="s">
        <v>1837</v>
      </c>
      <c r="B78" s="357" t="s">
        <v>20</v>
      </c>
      <c r="C78" s="605" t="s">
        <v>24</v>
      </c>
      <c r="D78" s="606"/>
      <c r="E78" s="27">
        <v>20.36</v>
      </c>
      <c r="F78" s="357">
        <v>2211</v>
      </c>
      <c r="G78" s="348">
        <f t="shared" si="51"/>
        <v>45015.96</v>
      </c>
      <c r="H78" s="31" t="s">
        <v>40</v>
      </c>
      <c r="I78" s="355">
        <v>17</v>
      </c>
      <c r="J78" s="29">
        <v>2400</v>
      </c>
      <c r="K78" s="12">
        <f t="shared" si="45"/>
        <v>141.1764705882353</v>
      </c>
      <c r="L78" s="355">
        <v>17</v>
      </c>
      <c r="M78" s="13">
        <f t="shared" si="52"/>
        <v>2287.2413793103465</v>
      </c>
      <c r="N78" s="12">
        <f t="shared" si="46"/>
        <v>134.54361054766744</v>
      </c>
      <c r="O78" s="14">
        <f t="shared" si="47"/>
        <v>0</v>
      </c>
      <c r="P78" s="15">
        <f t="shared" si="48"/>
        <v>-6.6328600405678628</v>
      </c>
      <c r="Q78" s="353">
        <f t="shared" si="49"/>
        <v>0.95301724137931099</v>
      </c>
      <c r="R78" s="616"/>
      <c r="S78" s="32">
        <v>0.73124999999999996</v>
      </c>
      <c r="T78" s="32">
        <v>0.7715277777777777</v>
      </c>
      <c r="U78" s="348">
        <f t="shared" si="54"/>
        <v>4.9999999999999822</v>
      </c>
      <c r="V78" s="356">
        <f t="shared" si="53"/>
        <v>57.999999999999957</v>
      </c>
      <c r="W78" s="16"/>
      <c r="X78" s="16"/>
      <c r="Y78" s="19"/>
      <c r="Z78" s="19"/>
      <c r="AA78" s="607"/>
      <c r="AB78" s="608"/>
      <c r="AC78" s="18"/>
      <c r="AD78" s="18"/>
      <c r="AE78" s="14">
        <f t="shared" si="43"/>
        <v>-112.75862068965353</v>
      </c>
      <c r="AF78" s="353">
        <f t="shared" si="50"/>
        <v>0.95301724137931099</v>
      </c>
      <c r="AG78" s="616"/>
    </row>
    <row r="79" spans="1:33" ht="16.5" customHeight="1">
      <c r="A79" s="615" t="s">
        <v>1837</v>
      </c>
      <c r="B79" s="27" t="s">
        <v>1834</v>
      </c>
      <c r="C79" s="609"/>
      <c r="D79" s="610"/>
      <c r="E79" s="354"/>
      <c r="F79" s="28"/>
      <c r="G79" s="12"/>
      <c r="H79" s="357"/>
      <c r="I79" s="21">
        <v>17.222222222222221</v>
      </c>
      <c r="J79" s="29">
        <v>2400</v>
      </c>
      <c r="K79" s="12">
        <f t="shared" si="45"/>
        <v>139.35483870967744</v>
      </c>
      <c r="L79" s="21">
        <v>17.222222222222221</v>
      </c>
      <c r="M79" s="13">
        <f>AVERAGE(M70:M78)</f>
        <v>2296.6888545107195</v>
      </c>
      <c r="N79" s="12">
        <f t="shared" si="46"/>
        <v>133.3561270361063</v>
      </c>
      <c r="O79" s="14">
        <f t="shared" si="47"/>
        <v>0</v>
      </c>
      <c r="P79" s="15">
        <f t="shared" si="48"/>
        <v>-5.9987116735711368</v>
      </c>
      <c r="Q79" s="353">
        <f t="shared" si="49"/>
        <v>0.95695368937946634</v>
      </c>
      <c r="R79" s="616"/>
      <c r="S79" s="32"/>
      <c r="T79" s="32"/>
      <c r="U79" s="12"/>
      <c r="V79" s="356"/>
      <c r="W79" s="12"/>
      <c r="X79" s="12"/>
      <c r="Y79" s="22">
        <f>SUM(Y70:Y78)</f>
        <v>0</v>
      </c>
      <c r="Z79" s="22">
        <f>SUM(Z70:Z78)</f>
        <v>0</v>
      </c>
      <c r="AA79" s="611"/>
      <c r="AB79" s="611"/>
      <c r="AC79" s="22">
        <v>9</v>
      </c>
      <c r="AD79" s="22">
        <f>SUM(AD70:AD78)</f>
        <v>0</v>
      </c>
      <c r="AE79" s="14">
        <f t="shared" si="43"/>
        <v>-103.31114548928053</v>
      </c>
      <c r="AF79" s="353">
        <f t="shared" si="50"/>
        <v>0.95695368937946645</v>
      </c>
      <c r="AG79" s="616"/>
    </row>
    <row r="80" spans="1:33">
      <c r="D80" s="23"/>
      <c r="E80" s="23"/>
    </row>
  </sheetData>
  <mergeCells count="202">
    <mergeCell ref="A70:A79"/>
    <mergeCell ref="C70:D70"/>
    <mergeCell ref="R70:R79"/>
    <mergeCell ref="AA70:AB70"/>
    <mergeCell ref="AG70:AG79"/>
    <mergeCell ref="C71:D71"/>
    <mergeCell ref="AA71:AB71"/>
    <mergeCell ref="C72:D72"/>
    <mergeCell ref="AA72:AB72"/>
    <mergeCell ref="C73:D73"/>
    <mergeCell ref="C77:D77"/>
    <mergeCell ref="AA77:AB77"/>
    <mergeCell ref="C78:D78"/>
    <mergeCell ref="AA78:AB78"/>
    <mergeCell ref="C79:D79"/>
    <mergeCell ref="AA79:AB79"/>
    <mergeCell ref="AA73:AB73"/>
    <mergeCell ref="C74:D74"/>
    <mergeCell ref="AA74:AB74"/>
    <mergeCell ref="C75:D75"/>
    <mergeCell ref="AA75:AB75"/>
    <mergeCell ref="C76:D76"/>
    <mergeCell ref="AA76:AB76"/>
    <mergeCell ref="AG65:AG69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A65:A69"/>
    <mergeCell ref="C65:D65"/>
    <mergeCell ref="R65:R69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A55:A64"/>
    <mergeCell ref="C55:D55"/>
    <mergeCell ref="R55:R64"/>
    <mergeCell ref="AA55:AB55"/>
    <mergeCell ref="A50:A54"/>
    <mergeCell ref="C50:D50"/>
    <mergeCell ref="R50:R54"/>
    <mergeCell ref="AA50:AB50"/>
    <mergeCell ref="AG55:AG64"/>
    <mergeCell ref="C56:D56"/>
    <mergeCell ref="AA56:AB56"/>
    <mergeCell ref="C57:D57"/>
    <mergeCell ref="AA57:AB57"/>
    <mergeCell ref="AA58:AB58"/>
    <mergeCell ref="AG50:AG54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64:D64"/>
    <mergeCell ref="AA64:AB64"/>
    <mergeCell ref="A41:A49"/>
    <mergeCell ref="C41:D41"/>
    <mergeCell ref="R41:R49"/>
    <mergeCell ref="AA41:AB41"/>
    <mergeCell ref="AA46:AB46"/>
    <mergeCell ref="C47:D47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A47:AB47"/>
    <mergeCell ref="C48:D48"/>
    <mergeCell ref="AA48:AB48"/>
    <mergeCell ref="C49:D49"/>
    <mergeCell ref="AA49:AB49"/>
    <mergeCell ref="A31:A40"/>
    <mergeCell ref="C31:D31"/>
    <mergeCell ref="R31:R40"/>
    <mergeCell ref="AA31:AB31"/>
    <mergeCell ref="AA36:AB36"/>
    <mergeCell ref="C37:D37"/>
    <mergeCell ref="AG31:AG40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C40:D40"/>
    <mergeCell ref="AA40:AB40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8:A14"/>
    <mergeCell ref="C8:D8"/>
    <mergeCell ref="R8:R14"/>
    <mergeCell ref="AA8:AB8"/>
    <mergeCell ref="AA13:AB13"/>
    <mergeCell ref="C14:D14"/>
    <mergeCell ref="AA14:AB14"/>
    <mergeCell ref="AG15:AG22"/>
    <mergeCell ref="C16:D16"/>
    <mergeCell ref="AA16:AB16"/>
    <mergeCell ref="C17:D17"/>
    <mergeCell ref="AA17:AB17"/>
    <mergeCell ref="C18:D18"/>
    <mergeCell ref="AG8:AG14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8:AB18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8:O75 O64:O65 O79 O5:O8 O14:O16 O22:O38 O40:O60">
    <cfRule type="cellIs" dxfId="1287" priority="78" operator="greaterThan">
      <formula>0</formula>
    </cfRule>
  </conditionalFormatting>
  <conditionalFormatting sqref="P5:P6 P68 AE68 P70:P75 P31:P38 P65 P8 P14:P16 P23:P29 P55:P60 P41:P53 AE5:AE65 AE70:AE79">
    <cfRule type="cellIs" dxfId="1286" priority="82" operator="lessThan">
      <formula>0</formula>
    </cfRule>
  </conditionalFormatting>
  <conditionalFormatting sqref="AF68 Q68:Q75 Q64:Q65 Q79 Q5:Q8 Q14:Q16 Q22:Q38 Q40:Q60 AF5:AF65 AF70:AF79">
    <cfRule type="cellIs" dxfId="1285" priority="79" operator="greaterThan">
      <formula>1</formula>
    </cfRule>
    <cfRule type="cellIs" dxfId="1284" priority="80" operator="lessThan">
      <formula>0.8</formula>
    </cfRule>
  </conditionalFormatting>
  <conditionalFormatting sqref="AG15:AG16 R15:R16 AG68 R68:R75 R22:R28 AG22:AG28 AG30:AG38 R30:R38 AG64:AG65 R64:R65 R79 AG5:AG8 R5:R8 AG40:AG60 R40:R60">
    <cfRule type="cellIs" dxfId="1283" priority="84" operator="lessThan">
      <formula>0.8</formula>
    </cfRule>
  </conditionalFormatting>
  <conditionalFormatting sqref="AG50">
    <cfRule type="cellIs" dxfId="1282" priority="86" operator="lessThan">
      <formula>0.8</formula>
    </cfRule>
  </conditionalFormatting>
  <conditionalFormatting sqref="AG23:AG28">
    <cfRule type="cellIs" dxfId="1281" priority="83" operator="lessThan">
      <formula>0.8</formula>
    </cfRule>
  </conditionalFormatting>
  <conditionalFormatting sqref="AG31">
    <cfRule type="cellIs" dxfId="1280" priority="85" operator="lessThan">
      <formula>0.8</formula>
    </cfRule>
  </conditionalFormatting>
  <conditionalFormatting sqref="AG41:AG48">
    <cfRule type="cellIs" dxfId="1279" priority="81" operator="lessThan">
      <formula>0.8</formula>
    </cfRule>
  </conditionalFormatting>
  <conditionalFormatting sqref="AE69">
    <cfRule type="cellIs" dxfId="1278" priority="77" operator="lessThan">
      <formula>0</formula>
    </cfRule>
  </conditionalFormatting>
  <conditionalFormatting sqref="AF69">
    <cfRule type="cellIs" dxfId="1277" priority="75" operator="greaterThan">
      <formula>1</formula>
    </cfRule>
    <cfRule type="cellIs" dxfId="1276" priority="76" operator="lessThan">
      <formula>0.8</formula>
    </cfRule>
  </conditionalFormatting>
  <conditionalFormatting sqref="O17:O18">
    <cfRule type="cellIs" dxfId="1275" priority="70" operator="greaterThan">
      <formula>0</formula>
    </cfRule>
  </conditionalFormatting>
  <conditionalFormatting sqref="P17:P18">
    <cfRule type="cellIs" dxfId="1274" priority="73" operator="lessThan">
      <formula>0</formula>
    </cfRule>
  </conditionalFormatting>
  <conditionalFormatting sqref="Q17:Q18">
    <cfRule type="cellIs" dxfId="1273" priority="71" operator="greaterThan">
      <formula>1</formula>
    </cfRule>
    <cfRule type="cellIs" dxfId="1272" priority="72" operator="lessThan">
      <formula>0.8</formula>
    </cfRule>
  </conditionalFormatting>
  <conditionalFormatting sqref="R17:R18 AG17:AG18">
    <cfRule type="cellIs" dxfId="1271" priority="74" operator="lessThan">
      <formula>0.8</formula>
    </cfRule>
  </conditionalFormatting>
  <conditionalFormatting sqref="O9:O13">
    <cfRule type="cellIs" dxfId="1270" priority="66" operator="greaterThan">
      <formula>0</formula>
    </cfRule>
  </conditionalFormatting>
  <conditionalFormatting sqref="P9:P13">
    <cfRule type="cellIs" dxfId="1269" priority="69" operator="lessThan">
      <formula>0</formula>
    </cfRule>
  </conditionalFormatting>
  <conditionalFormatting sqref="Q9:Q13">
    <cfRule type="cellIs" dxfId="1268" priority="67" operator="greaterThan">
      <formula>1</formula>
    </cfRule>
    <cfRule type="cellIs" dxfId="1267" priority="68" operator="lessThan">
      <formula>0.8</formula>
    </cfRule>
  </conditionalFormatting>
  <conditionalFormatting sqref="O61">
    <cfRule type="cellIs" dxfId="1266" priority="61" operator="greaterThan">
      <formula>0</formula>
    </cfRule>
  </conditionalFormatting>
  <conditionalFormatting sqref="P61">
    <cfRule type="cellIs" dxfId="1265" priority="64" operator="lessThan">
      <formula>0</formula>
    </cfRule>
  </conditionalFormatting>
  <conditionalFormatting sqref="Q61">
    <cfRule type="cellIs" dxfId="1264" priority="62" operator="greaterThan">
      <formula>1</formula>
    </cfRule>
    <cfRule type="cellIs" dxfId="1263" priority="63" operator="lessThan">
      <formula>0.8</formula>
    </cfRule>
  </conditionalFormatting>
  <conditionalFormatting sqref="R61 AG61">
    <cfRule type="cellIs" dxfId="1262" priority="65" operator="lessThan">
      <formula>0.8</formula>
    </cfRule>
  </conditionalFormatting>
  <conditionalFormatting sqref="O67">
    <cfRule type="cellIs" dxfId="1261" priority="56" operator="greaterThan">
      <formula>0</formula>
    </cfRule>
  </conditionalFormatting>
  <conditionalFormatting sqref="P67 AE67">
    <cfRule type="cellIs" dxfId="1260" priority="59" operator="lessThan">
      <formula>0</formula>
    </cfRule>
  </conditionalFormatting>
  <conditionalFormatting sqref="Q67 AF67">
    <cfRule type="cellIs" dxfId="1259" priority="57" operator="greaterThan">
      <formula>1</formula>
    </cfRule>
    <cfRule type="cellIs" dxfId="1258" priority="58" operator="lessThan">
      <formula>0.8</formula>
    </cfRule>
  </conditionalFormatting>
  <conditionalFormatting sqref="R67 AG67">
    <cfRule type="cellIs" dxfId="1257" priority="60" operator="lessThan">
      <formula>0.8</formula>
    </cfRule>
  </conditionalFormatting>
  <conditionalFormatting sqref="O39">
    <cfRule type="cellIs" dxfId="1256" priority="51" operator="greaterThan">
      <formula>0</formula>
    </cfRule>
  </conditionalFormatting>
  <conditionalFormatting sqref="P39">
    <cfRule type="cellIs" dxfId="1255" priority="54" operator="lessThan">
      <formula>0</formula>
    </cfRule>
  </conditionalFormatting>
  <conditionalFormatting sqref="Q39">
    <cfRule type="cellIs" dxfId="1254" priority="52" operator="greaterThan">
      <formula>1</formula>
    </cfRule>
    <cfRule type="cellIs" dxfId="1253" priority="53" operator="lessThan">
      <formula>0.8</formula>
    </cfRule>
  </conditionalFormatting>
  <conditionalFormatting sqref="R39 AG39">
    <cfRule type="cellIs" dxfId="1252" priority="55" operator="lessThan">
      <formula>0.8</formula>
    </cfRule>
  </conditionalFormatting>
  <conditionalFormatting sqref="O76">
    <cfRule type="cellIs" dxfId="1251" priority="46" operator="greaterThan">
      <formula>0</formula>
    </cfRule>
  </conditionalFormatting>
  <conditionalFormatting sqref="P76">
    <cfRule type="cellIs" dxfId="1250" priority="49" operator="lessThan">
      <formula>0</formula>
    </cfRule>
  </conditionalFormatting>
  <conditionalFormatting sqref="Q76">
    <cfRule type="cellIs" dxfId="1249" priority="47" operator="greaterThan">
      <formula>1</formula>
    </cfRule>
    <cfRule type="cellIs" dxfId="1248" priority="48" operator="lessThan">
      <formula>0.8</formula>
    </cfRule>
  </conditionalFormatting>
  <conditionalFormatting sqref="R76">
    <cfRule type="cellIs" dxfId="1247" priority="50" operator="lessThan">
      <formula>0.8</formula>
    </cfRule>
  </conditionalFormatting>
  <conditionalFormatting sqref="O19:O20">
    <cfRule type="cellIs" dxfId="1246" priority="41" operator="greaterThan">
      <formula>0</formula>
    </cfRule>
  </conditionalFormatting>
  <conditionalFormatting sqref="P19:P20">
    <cfRule type="cellIs" dxfId="1245" priority="44" operator="lessThan">
      <formula>0</formula>
    </cfRule>
  </conditionalFormatting>
  <conditionalFormatting sqref="Q19:Q20">
    <cfRule type="cellIs" dxfId="1244" priority="42" operator="greaterThan">
      <formula>1</formula>
    </cfRule>
    <cfRule type="cellIs" dxfId="1243" priority="43" operator="lessThan">
      <formula>0.8</formula>
    </cfRule>
  </conditionalFormatting>
  <conditionalFormatting sqref="R19:R20 AG19:AG20">
    <cfRule type="cellIs" dxfId="1242" priority="45" operator="lessThan">
      <formula>0.8</formula>
    </cfRule>
  </conditionalFormatting>
  <conditionalFormatting sqref="O62">
    <cfRule type="cellIs" dxfId="1241" priority="36" operator="greaterThan">
      <formula>0</formula>
    </cfRule>
  </conditionalFormatting>
  <conditionalFormatting sqref="P62">
    <cfRule type="cellIs" dxfId="1240" priority="39" operator="lessThan">
      <formula>0</formula>
    </cfRule>
  </conditionalFormatting>
  <conditionalFormatting sqref="Q62">
    <cfRule type="cellIs" dxfId="1239" priority="37" operator="greaterThan">
      <formula>1</formula>
    </cfRule>
    <cfRule type="cellIs" dxfId="1238" priority="38" operator="lessThan">
      <formula>0.8</formula>
    </cfRule>
  </conditionalFormatting>
  <conditionalFormatting sqref="AG62 R62">
    <cfRule type="cellIs" dxfId="1237" priority="40" operator="lessThan">
      <formula>0.8</formula>
    </cfRule>
  </conditionalFormatting>
  <conditionalFormatting sqref="R29 AG29">
    <cfRule type="cellIs" dxfId="1236" priority="35" operator="lessThan">
      <formula>0.8</formula>
    </cfRule>
  </conditionalFormatting>
  <conditionalFormatting sqref="AG29">
    <cfRule type="cellIs" dxfId="1235" priority="34" operator="lessThan">
      <formula>0.8</formula>
    </cfRule>
  </conditionalFormatting>
  <conditionalFormatting sqref="O66">
    <cfRule type="cellIs" dxfId="1234" priority="29" operator="greaterThan">
      <formula>0</formula>
    </cfRule>
  </conditionalFormatting>
  <conditionalFormatting sqref="P66 AE66">
    <cfRule type="cellIs" dxfId="1233" priority="32" operator="lessThan">
      <formula>0</formula>
    </cfRule>
  </conditionalFormatting>
  <conditionalFormatting sqref="Q66 AF66">
    <cfRule type="cellIs" dxfId="1232" priority="30" operator="greaterThan">
      <formula>1</formula>
    </cfRule>
    <cfRule type="cellIs" dxfId="1231" priority="31" operator="lessThan">
      <formula>0.8</formula>
    </cfRule>
  </conditionalFormatting>
  <conditionalFormatting sqref="R66 AG66">
    <cfRule type="cellIs" dxfId="1230" priority="33" operator="lessThan">
      <formula>0.8</formula>
    </cfRule>
  </conditionalFormatting>
  <conditionalFormatting sqref="O21">
    <cfRule type="cellIs" dxfId="1229" priority="24" operator="greaterThan">
      <formula>0</formula>
    </cfRule>
  </conditionalFormatting>
  <conditionalFormatting sqref="P21">
    <cfRule type="cellIs" dxfId="1228" priority="27" operator="lessThan">
      <formula>0</formula>
    </cfRule>
  </conditionalFormatting>
  <conditionalFormatting sqref="Q21">
    <cfRule type="cellIs" dxfId="1227" priority="25" operator="greaterThan">
      <formula>1</formula>
    </cfRule>
    <cfRule type="cellIs" dxfId="1226" priority="26" operator="lessThan">
      <formula>0.8</formula>
    </cfRule>
  </conditionalFormatting>
  <conditionalFormatting sqref="AG21 R21">
    <cfRule type="cellIs" dxfId="1225" priority="28" operator="lessThan">
      <formula>0.8</formula>
    </cfRule>
  </conditionalFormatting>
  <conditionalFormatting sqref="P7">
    <cfRule type="cellIs" dxfId="1224" priority="23" operator="lessThan">
      <formula>0</formula>
    </cfRule>
  </conditionalFormatting>
  <conditionalFormatting sqref="P22">
    <cfRule type="cellIs" dxfId="1223" priority="22" operator="lessThan">
      <formula>0</formula>
    </cfRule>
  </conditionalFormatting>
  <conditionalFormatting sqref="P30">
    <cfRule type="cellIs" dxfId="1222" priority="21" operator="lessThan">
      <formula>0</formula>
    </cfRule>
  </conditionalFormatting>
  <conditionalFormatting sqref="P40">
    <cfRule type="cellIs" dxfId="1221" priority="20" operator="lessThan">
      <formula>0</formula>
    </cfRule>
  </conditionalFormatting>
  <conditionalFormatting sqref="P54">
    <cfRule type="cellIs" dxfId="1220" priority="19" operator="lessThan">
      <formula>0</formula>
    </cfRule>
  </conditionalFormatting>
  <conditionalFormatting sqref="P64">
    <cfRule type="cellIs" dxfId="1219" priority="18" operator="lessThan">
      <formula>0</formula>
    </cfRule>
  </conditionalFormatting>
  <conditionalFormatting sqref="P69">
    <cfRule type="cellIs" dxfId="1218" priority="17" operator="lessThan">
      <formula>0</formula>
    </cfRule>
  </conditionalFormatting>
  <conditionalFormatting sqref="P79">
    <cfRule type="cellIs" dxfId="1217" priority="16" operator="lessThan">
      <formula>0</formula>
    </cfRule>
  </conditionalFormatting>
  <conditionalFormatting sqref="O77">
    <cfRule type="cellIs" dxfId="1216" priority="11" operator="greaterThan">
      <formula>0</formula>
    </cfRule>
  </conditionalFormatting>
  <conditionalFormatting sqref="P77">
    <cfRule type="cellIs" dxfId="1215" priority="14" operator="lessThan">
      <formula>0</formula>
    </cfRule>
  </conditionalFormatting>
  <conditionalFormatting sqref="Q77">
    <cfRule type="cellIs" dxfId="1214" priority="12" operator="greaterThan">
      <formula>1</formula>
    </cfRule>
    <cfRule type="cellIs" dxfId="1213" priority="13" operator="lessThan">
      <formula>0.8</formula>
    </cfRule>
  </conditionalFormatting>
  <conditionalFormatting sqref="R77">
    <cfRule type="cellIs" dxfId="1212" priority="15" operator="lessThan">
      <formula>0.8</formula>
    </cfRule>
  </conditionalFormatting>
  <conditionalFormatting sqref="O78">
    <cfRule type="cellIs" dxfId="1211" priority="6" operator="greaterThan">
      <formula>0</formula>
    </cfRule>
  </conditionalFormatting>
  <conditionalFormatting sqref="P78">
    <cfRule type="cellIs" dxfId="1210" priority="9" operator="lessThan">
      <formula>0</formula>
    </cfRule>
  </conditionalFormatting>
  <conditionalFormatting sqref="Q78">
    <cfRule type="cellIs" dxfId="1209" priority="7" operator="greaterThan">
      <formula>1</formula>
    </cfRule>
    <cfRule type="cellIs" dxfId="1208" priority="8" operator="lessThan">
      <formula>0.8</formula>
    </cfRule>
  </conditionalFormatting>
  <conditionalFormatting sqref="R78">
    <cfRule type="cellIs" dxfId="1207" priority="10" operator="lessThan">
      <formula>0.8</formula>
    </cfRule>
  </conditionalFormatting>
  <conditionalFormatting sqref="O63">
    <cfRule type="cellIs" dxfId="1206" priority="1" operator="greaterThan">
      <formula>0</formula>
    </cfRule>
  </conditionalFormatting>
  <conditionalFormatting sqref="P63">
    <cfRule type="cellIs" dxfId="1205" priority="4" operator="lessThan">
      <formula>0</formula>
    </cfRule>
  </conditionalFormatting>
  <conditionalFormatting sqref="Q63">
    <cfRule type="cellIs" dxfId="1204" priority="2" operator="greaterThan">
      <formula>1</formula>
    </cfRule>
    <cfRule type="cellIs" dxfId="1203" priority="3" operator="lessThan">
      <formula>0.8</formula>
    </cfRule>
  </conditionalFormatting>
  <conditionalFormatting sqref="AG63 R63">
    <cfRule type="cellIs" dxfId="1202" priority="5" operator="lessThan">
      <formula>0.8</formula>
    </cfRule>
  </conditionalFormatting>
  <dataValidations count="1">
    <dataValidation type="list" allowBlank="1" showInputMessage="1" showErrorMessage="1" sqref="AB7 AA5:AB6 AA7:AA68 AB9:AB65 AA69:AB7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1644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1645</v>
      </c>
      <c r="C3" s="594" t="str">
        <f>TEXT('0718 4度C'!A2,"yyyy.mm.ddaaaa")</f>
        <v>2026.07.18星期六</v>
      </c>
      <c r="D3" s="595"/>
      <c r="E3" s="36" t="s">
        <v>1646</v>
      </c>
      <c r="F3" s="596">
        <f>'0718 4度C'!D1</f>
        <v>158125</v>
      </c>
      <c r="G3" s="597"/>
      <c r="H3" s="36" t="s">
        <v>1647</v>
      </c>
      <c r="I3" s="598">
        <f>'0718 4度C'!F1</f>
        <v>5403649.370000002</v>
      </c>
      <c r="J3" s="599"/>
      <c r="K3" s="37"/>
      <c r="L3" s="38"/>
      <c r="M3" s="39"/>
      <c r="N3" s="39"/>
    </row>
    <row r="4" spans="2:17" ht="28.5" customHeight="1">
      <c r="B4" s="600" t="s">
        <v>1648</v>
      </c>
      <c r="C4" s="586" t="s">
        <v>1649</v>
      </c>
      <c r="D4" s="587"/>
      <c r="E4" s="603" t="s">
        <v>1650</v>
      </c>
      <c r="F4" s="604"/>
      <c r="G4" s="603" t="s">
        <v>1651</v>
      </c>
      <c r="H4" s="604"/>
      <c r="I4" s="603" t="s">
        <v>1652</v>
      </c>
      <c r="J4" s="604"/>
      <c r="K4" s="584" t="s">
        <v>1653</v>
      </c>
      <c r="L4" s="585"/>
      <c r="M4" s="585" t="s">
        <v>1654</v>
      </c>
      <c r="N4" s="585"/>
    </row>
    <row r="5" spans="2:17" ht="28.5" customHeight="1">
      <c r="B5" s="601"/>
      <c r="C5" s="586" t="s">
        <v>95</v>
      </c>
      <c r="D5" s="587"/>
      <c r="E5" s="586" t="s">
        <v>1655</v>
      </c>
      <c r="F5" s="587"/>
      <c r="G5" s="588" t="s">
        <v>1656</v>
      </c>
      <c r="H5" s="589"/>
      <c r="I5" s="590" t="s">
        <v>1657</v>
      </c>
      <c r="J5" s="591"/>
      <c r="K5" s="40" t="s">
        <v>1658</v>
      </c>
      <c r="L5" s="41" t="s">
        <v>206</v>
      </c>
      <c r="M5" s="40" t="s">
        <v>1659</v>
      </c>
      <c r="N5" s="41" t="s">
        <v>1660</v>
      </c>
    </row>
    <row r="6" spans="2:17" ht="28.5" customHeight="1">
      <c r="B6" s="601"/>
      <c r="C6" s="586" t="s">
        <v>41</v>
      </c>
      <c r="D6" s="587"/>
      <c r="E6" s="578">
        <f>AVERAGE(D13:M13)</f>
        <v>158.17818593538246</v>
      </c>
      <c r="F6" s="579">
        <f>AVERAGE(D31:O31,D13:J13)</f>
        <v>166.81310605015514</v>
      </c>
      <c r="G6" s="580">
        <f>AVERAGE(D13:J13)</f>
        <v>166.81310605015514</v>
      </c>
      <c r="H6" s="581"/>
      <c r="I6" s="580">
        <f>AVERAGE(K13:M13)</f>
        <v>138.03003900091281</v>
      </c>
      <c r="J6" s="581"/>
      <c r="K6" s="582">
        <f>'0718 4度C'!Y2</f>
        <v>0</v>
      </c>
      <c r="L6" s="567">
        <f>'0718 4度C'!Z2</f>
        <v>0</v>
      </c>
      <c r="M6" s="583">
        <f>'0718 4度C'!AC2</f>
        <v>55</v>
      </c>
      <c r="N6" s="567">
        <f>'0718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151.80998558707284</v>
      </c>
      <c r="F7" s="571">
        <f>AVERAGE(D32:O32,D14:J14)</f>
        <v>160.20993990654827</v>
      </c>
      <c r="G7" s="572">
        <f>AVERAGE(D14:J14)</f>
        <v>160.20993990654827</v>
      </c>
      <c r="H7" s="573"/>
      <c r="I7" s="572">
        <f>AVERAGE(K14:M14)</f>
        <v>132.21009217496351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0.95917647782823823</v>
      </c>
      <c r="F8" s="575">
        <f>AVERAGE(D15:J15,D33:O33)</f>
        <v>0.95973975218947949</v>
      </c>
      <c r="G8" s="576">
        <f>AVERAGE(D15:J15)</f>
        <v>0.95973975218947949</v>
      </c>
      <c r="H8" s="577"/>
      <c r="I8" s="576">
        <f>AVERAGE(K15:M15)</f>
        <v>0.95786217098534154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209</v>
      </c>
      <c r="N9" s="39"/>
      <c r="O9" s="39"/>
      <c r="P9" s="39"/>
      <c r="Q9" s="39"/>
    </row>
    <row r="10" spans="2:17" ht="30" customHeight="1">
      <c r="B10" s="550" t="s">
        <v>1661</v>
      </c>
      <c r="C10" s="551"/>
      <c r="D10" s="552" t="s">
        <v>1662</v>
      </c>
      <c r="E10" s="553"/>
      <c r="F10" s="553"/>
      <c r="G10" s="553"/>
      <c r="H10" s="553"/>
      <c r="I10" s="553"/>
      <c r="J10" s="554"/>
      <c r="K10" s="555" t="s">
        <v>1663</v>
      </c>
      <c r="L10" s="556"/>
      <c r="M10" s="557"/>
      <c r="P10" s="45"/>
      <c r="Q10" s="45"/>
    </row>
    <row r="11" spans="2:17" ht="17.25" customHeight="1">
      <c r="B11" s="558" t="s">
        <v>1664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1665</v>
      </c>
      <c r="C13" s="52" t="s">
        <v>108</v>
      </c>
      <c r="D13" s="53">
        <f>SUMIFS('0718 4度C'!$K:$K,'0718 4度C'!$A:$A,"新豐6線",'0718 4度C'!$B:$B,"平均")</f>
        <v>129.03225806451613</v>
      </c>
      <c r="E13" s="54">
        <f>SUMIFS('0718 4度C'!$K:$K,'0718 4度C'!$A:$A,"新豐2線",'0718 4度C'!$B:$B,"平均")</f>
        <v>86.206896551724142</v>
      </c>
      <c r="F13" s="55">
        <f>SUMIFS('0718 4度C'!$K:$K,'0718 4度C'!$A:$A,"新豐5線",'0718 4度C'!$B:$B,"平均")</f>
        <v>93.75</v>
      </c>
      <c r="G13" s="55">
        <f>SUMIFS('0718 4度C'!$K:$K,'0718 4度C'!$A:$A,"新豐7線",'0718 4度C'!$B:$B,"平均")</f>
        <v>129.03225806451613</v>
      </c>
      <c r="H13" s="55">
        <f>SUMIFS('0718 4度C'!$K:$K,'0718 4度C'!$A:$A,"新豐3線",'0718 4度C'!$B:$B,"平均")</f>
        <v>307.69230769230768</v>
      </c>
      <c r="I13" s="55">
        <f>SUMIFS('0718 4度C'!$K:$K,'0718 4度C'!$A:$A,"新豐1線",'0718 4度C'!$B:$B,"平均")</f>
        <v>114.28571428571429</v>
      </c>
      <c r="J13" s="56">
        <f>SUMIFS('0718 4度C'!$K:$K,'0718 4度C'!$A:$A,"新豐10線",'0718 4度C'!$B:$B,"平均")</f>
        <v>307.69230769230768</v>
      </c>
      <c r="K13" s="57">
        <f>SUMIFS('0718 4度C'!$K:$K,'0718 4度C'!$A:$A,"新豐8線",'0718 4度C'!$B:$B,"平均")</f>
        <v>138.46153846153848</v>
      </c>
      <c r="L13" s="58">
        <f>SUMIFS('0718 4度C'!$K:$K,'0718 4度C'!$A:$A,"新豐9線",'0718 4度C'!$B:$B,"平均")</f>
        <v>132.03883495145629</v>
      </c>
      <c r="M13" s="56">
        <f>SUMIFS('0718 4度C'!$K:$K,'0718 4度C'!$A:$A,"新豐4線",'0718 4度C'!$B:$B,"平均")</f>
        <v>143.58974358974359</v>
      </c>
    </row>
    <row r="14" spans="2:17" ht="39.6" customHeight="1">
      <c r="B14" s="563"/>
      <c r="C14" s="59" t="s">
        <v>1666</v>
      </c>
      <c r="D14" s="60">
        <f>SUMIFS('0718 4度C'!$N:$N,'0718 4度C'!$A:$A,"新豐6線",'0718 4度C'!$B:$B,"平均")</f>
        <v>123.95559279430248</v>
      </c>
      <c r="E14" s="61">
        <f>SUMIFS('0718 4度C'!$N:$N,'0718 4度C'!$A:$A,"新豐2線",'0718 4度C'!$B:$B,"平均")</f>
        <v>82.286155439838765</v>
      </c>
      <c r="F14" s="61">
        <f>SUMIFS('0718 4度C'!$N:$N,'0718 4度C'!$A:$A,"新豐5線",'0718 4度C'!$B:$B,"平均")</f>
        <v>89.87712695408014</v>
      </c>
      <c r="G14" s="61">
        <f>SUMIFS('0718 4度C'!$N:$N,'0718 4度C'!$A:$A,"新豐7線",'0718 4度C'!$B:$B,"平均")</f>
        <v>124.1487678660679</v>
      </c>
      <c r="H14" s="61">
        <f>SUMIFS('0718 4度C'!$N:$N,'0718 4度C'!$A:$A,"新豐3線",'0718 4度C'!$B:$B,"平均")</f>
        <v>294.56334234420234</v>
      </c>
      <c r="I14" s="61">
        <f>SUMIFS('0718 4度C'!$N:$N,'0718 4度C'!$A:$A,"新豐1線",'0718 4度C'!$B:$B,"平均")</f>
        <v>109.68262181490361</v>
      </c>
      <c r="J14" s="62">
        <f>SUMIFS('0718 4度C'!$N:$N,'0718 4度C'!$A:$A,"新豐10線",'0718 4度C'!$B:$B,"平均")</f>
        <v>296.95597213244258</v>
      </c>
      <c r="K14" s="63">
        <f>SUMIFS('0718 4度C'!$N:$N,'0718 4度C'!$A:$A,"新豐8線",'0718 4度C'!$B:$B,"平均")</f>
        <v>133.09639640310564</v>
      </c>
      <c r="L14" s="64">
        <f>SUMIFS('0718 4度C'!$N:$N,'0718 4度C'!$A:$A,"新豐9線",'0718 4度C'!$B:$B,"平均")</f>
        <v>126.40184036707655</v>
      </c>
      <c r="M14" s="62">
        <f>SUMIFS('0718 4度C'!$N:$N,'0718 4度C'!$A:$A,"新豐4線",'0718 4度C'!$B:$B,"平均")</f>
        <v>137.13203975470833</v>
      </c>
    </row>
    <row r="15" spans="2:17" ht="40.15" customHeight="1">
      <c r="B15" s="564"/>
      <c r="C15" s="65" t="s">
        <v>1667</v>
      </c>
      <c r="D15" s="66">
        <f t="shared" ref="D15:M15" si="0">D14/D13</f>
        <v>0.96065584415584415</v>
      </c>
      <c r="E15" s="67">
        <f t="shared" si="0"/>
        <v>0.95451940310212968</v>
      </c>
      <c r="F15" s="67">
        <f t="shared" si="0"/>
        <v>0.95868935417685486</v>
      </c>
      <c r="G15" s="67">
        <f t="shared" si="0"/>
        <v>0.96215295096202624</v>
      </c>
      <c r="H15" s="67">
        <f t="shared" si="0"/>
        <v>0.95733086261865763</v>
      </c>
      <c r="I15" s="67">
        <f t="shared" si="0"/>
        <v>0.95972294088040655</v>
      </c>
      <c r="J15" s="68">
        <f t="shared" si="0"/>
        <v>0.96510690943043842</v>
      </c>
      <c r="K15" s="66">
        <f t="shared" si="0"/>
        <v>0.96125175180020728</v>
      </c>
      <c r="L15" s="67">
        <f t="shared" si="0"/>
        <v>0.95730805572124156</v>
      </c>
      <c r="M15" s="68">
        <f t="shared" si="0"/>
        <v>0.95502670543457591</v>
      </c>
    </row>
    <row r="16" spans="2:17" ht="17.25" customHeight="1">
      <c r="B16" s="565" t="s">
        <v>1668</v>
      </c>
      <c r="C16" s="69" t="s">
        <v>1669</v>
      </c>
      <c r="D16" s="70">
        <f>VLOOKUP("新豐6線",'0718 4度C'!$A:$T,19,0)</f>
        <v>0.70833333333333337</v>
      </c>
      <c r="E16" s="71">
        <f>VLOOKUP("新豐2線",'0718 4度C'!$A:$T,19,0)</f>
        <v>8.3333333333333329E-2</v>
      </c>
      <c r="F16" s="71">
        <f>VLOOKUP("新豐5線",'0718 4度C'!$A:$T,19,0)</f>
        <v>8.3333333333333329E-2</v>
      </c>
      <c r="G16" s="71">
        <f>VLOOKUP("新豐7線",'0718 4度C'!$A:$T,19,0)</f>
        <v>0.20833333333333334</v>
      </c>
      <c r="H16" s="71">
        <f>VLOOKUP("新豐3線",'0718 4度C'!$A:$T,19,0)</f>
        <v>0.20833333333333334</v>
      </c>
      <c r="I16" s="71">
        <f>VLOOKUP("新豐1線",'0718 4度C'!$A:$T,19,0)</f>
        <v>0.20833333333333334</v>
      </c>
      <c r="J16" s="72">
        <f>VLOOKUP("新豐10線",'0718 4度C'!$A:$T,19,0)</f>
        <v>0.20833333333333334</v>
      </c>
      <c r="K16" s="73">
        <f>VLOOKUP("新豐8線",'0718 4度C'!$A:$T,19,0)</f>
        <v>8.3333333333333329E-2</v>
      </c>
      <c r="L16" s="74">
        <f>VLOOKUP("新豐9線",'0718 4度C'!$A:$T,19,0)</f>
        <v>8.3333333333333329E-2</v>
      </c>
      <c r="M16" s="75">
        <f>VLOOKUP("新豐4線",'0718 4度C'!$A:$T,19,0)</f>
        <v>8.3333333333333329E-2</v>
      </c>
    </row>
    <row r="17" spans="2:13" ht="17.25" customHeight="1">
      <c r="B17" s="566"/>
      <c r="C17" s="69" t="s">
        <v>1670</v>
      </c>
      <c r="D17" s="73">
        <f>LOOKUP(2,1/(('0718 4度C'!$A:$A="新豐6線")*('0718 4度C'!$T:$T&lt;&gt;"")),'0718 4度C'!$T:$T)</f>
        <v>0.80625000000000002</v>
      </c>
      <c r="E17" s="71">
        <f>LOOKUP(2,1/(('0718 4度C'!$A:$A="新豐2線")*('0718 4度C'!$T:$T&lt;&gt;"")),'0718 4度C'!$T:$T)</f>
        <v>0.61458333333333326</v>
      </c>
      <c r="F17" s="71">
        <f>LOOKUP(2,1/(('0718 4度C'!$A:$A="新豐5線")*('0718 4度C'!$T:$T&lt;&gt;"")),'0718 4度C'!$T:$T)</f>
        <v>0.83125000000000004</v>
      </c>
      <c r="G17" s="71">
        <f>LOOKUP(2,1/(('0718 4度C'!$A:$A="新豐7線")*('0718 4度C'!$T:$T&lt;&gt;"")),'0718 4度C'!$T:$T)</f>
        <v>0.84444444444444444</v>
      </c>
      <c r="H17" s="71">
        <f>LOOKUP(2,1/(('0718 4度C'!$A:$A="新豐3線")*('0718 4度C'!$T:$T&lt;&gt;"")),'0718 4度C'!$T:$T)</f>
        <v>0.42013888888888884</v>
      </c>
      <c r="I17" s="71">
        <f>LOOKUP(2,1/(('0718 4度C'!$A:$A="新豐1線")*('0718 4度C'!$T:$T&lt;&gt;"")),'0718 4度C'!$T:$T)</f>
        <v>0.84027777777777779</v>
      </c>
      <c r="J17" s="72">
        <f>LOOKUP(2,1/(('0718 4度C'!$A:$A="新豐10線")*('0718 4度C'!$T:$T&lt;&gt;"")),'0718 4度C'!$T:$T)</f>
        <v>0.37152777777777779</v>
      </c>
      <c r="K17" s="70">
        <f>LOOKUP(2,1/(('0718 4度C'!$A:$A="新豐8線")*('0718 4度C'!$T:$T&lt;&gt;"")),'0718 4度C'!$T:$T)</f>
        <v>0.59097222222222212</v>
      </c>
      <c r="L17" s="71">
        <f>LOOKUP(2,1/(('0718 4度C'!$A:$A="新豐9線")*('0718 4度C'!$T:$T&lt;&gt;"")),'0718 4度C'!$T:$T)</f>
        <v>0.60138888888888875</v>
      </c>
      <c r="M17" s="72">
        <f>LOOKUP(2,1/(('0718 4度C'!$A:$A="新豐4線")*('0718 4度C'!$T:$T&lt;&gt;"")),'0718 4度C'!$T:$T)</f>
        <v>0.6645833333333333</v>
      </c>
    </row>
    <row r="18" spans="2:13" ht="17.25" customHeight="1">
      <c r="B18" s="544" t="s">
        <v>1671</v>
      </c>
      <c r="C18" s="76" t="s">
        <v>1672</v>
      </c>
      <c r="D18" s="77">
        <f>SUMIFS('0718 4度C'!$Y:$Y,'0718 4度C'!$A:$A,"新豐6線",'0718 4度C'!$B:$B,"平均")</f>
        <v>0</v>
      </c>
      <c r="E18" s="78">
        <f>SUMIFS('0718 4度C'!$Y:$Y,'0718 4度C'!$A:$A,"新豐2線",'0718 4度C'!$B:$B,"平均")</f>
        <v>0</v>
      </c>
      <c r="F18" s="78">
        <f>SUMIFS('0718 4度C'!$Y:$Y,'0718 4度C'!$A:$A,"新豐5線",'0718 4度C'!$B:$B,"平均")</f>
        <v>0</v>
      </c>
      <c r="G18" s="78">
        <f>SUMIFS('0718 4度C'!$Y:$Y,'0718 4度C'!$A:$A,"新豐7線",'0718 4度C'!$B:$B,"平均")</f>
        <v>0</v>
      </c>
      <c r="H18" s="78">
        <f>SUMIFS('0718 4度C'!$Y:$Y,'0718 4度C'!$A:$A,"新豐3線",'0718 4度C'!$B:$B,"平均")</f>
        <v>0</v>
      </c>
      <c r="I18" s="78">
        <f>SUMIFS('0718 4度C'!$Y:$Y,'0718 4度C'!$A:$A,"新豐1線",'0718 4度C'!$B:$B,"平均")</f>
        <v>0</v>
      </c>
      <c r="J18" s="79">
        <f>SUMIFS('0718 4度C'!$Y:$Y,'0718 4度C'!$A:$A,"新豐10線",'0718 4度C'!$B:$B,"平均")</f>
        <v>0</v>
      </c>
      <c r="K18" s="80">
        <f>SUMIFS('0718 4度C'!$Y:$Y,'0718 4度C'!$A:$A,"新豐8線",'0718 4度C'!$B:$B,"平均")</f>
        <v>0</v>
      </c>
      <c r="L18" s="78">
        <f>SUMIFS('0718 4度C'!$Y:$Y,'0718 4度C'!$A:$A,"新豐9線",'0718 4度C'!$B:$B,"平均")</f>
        <v>0</v>
      </c>
      <c r="M18" s="79">
        <f>SUMIFS('0718 4度C'!$Y:$Y,'0718 4度C'!$A:$A,"新豐4線",'0718 4度C'!$B:$B,"平均")</f>
        <v>0</v>
      </c>
    </row>
    <row r="19" spans="2:13" ht="17.25" customHeight="1">
      <c r="B19" s="545"/>
      <c r="C19" s="76" t="s">
        <v>1673</v>
      </c>
      <c r="D19" s="77">
        <f>SUMIFS('0718 4度C'!$Z:$Z,'0718 4度C'!$A:$A,"新豐6線",'0718 4度C'!$B:$B,"平均")</f>
        <v>0</v>
      </c>
      <c r="E19" s="78">
        <f>SUMIFS('0718 4度C'!$Z:$Z,'0718 4度C'!$A:$A,"新豐2線",'0718 4度C'!$B:$B,"平均")</f>
        <v>0</v>
      </c>
      <c r="F19" s="78">
        <f>SUMIFS('0718 4度C'!$Z:$Z,'0718 4度C'!$A:$A,"新豐5線",'0718 4度C'!$B:$B,"平均")</f>
        <v>0</v>
      </c>
      <c r="G19" s="78">
        <f>SUMIFS('0718 4度C'!$Z:$Z,'0718 4度C'!$A:$A,"新豐7線",'0718 4度C'!$B:$B,"平均")</f>
        <v>0</v>
      </c>
      <c r="H19" s="78">
        <f>SUMIFS('0718 4度C'!$Z:$Z,'0718 4度C'!$A:$A,"新豐3線",'0718 4度C'!$B:$B,"平均")</f>
        <v>0</v>
      </c>
      <c r="I19" s="78">
        <f>SUMIFS('0718 4度C'!$Z:$Z,'0718 4度C'!$A:$A,"新豐1線",'0718 4度C'!$B:$B,"平均")</f>
        <v>0</v>
      </c>
      <c r="J19" s="79">
        <f>SUMIFS('0718 4度C'!$Z:$Z,'0718 4度C'!$A:$A,"新豐10線",'0718 4度C'!$B:$B,"平均")</f>
        <v>0</v>
      </c>
      <c r="K19" s="80">
        <f>SUMIFS('0718 4度C'!$Z:$Z,'0718 4度C'!$A:$A,"新豐8線",'0718 4度C'!$B:$B,"平均")</f>
        <v>0</v>
      </c>
      <c r="L19" s="78">
        <f>SUMIFS('0718 4度C'!$Z:$Z,'0718 4度C'!$A:$A,"新豐9線",'0718 4度C'!$B:$B,"平均")</f>
        <v>0</v>
      </c>
      <c r="M19" s="79">
        <f>SUMIFS('0718 4度C'!$Z:$Z,'0718 4度C'!$A:$A,"新豐4線",'0718 4度C'!$B:$B,"平均")</f>
        <v>0</v>
      </c>
    </row>
    <row r="20" spans="2:13" ht="17.25" customHeight="1">
      <c r="B20" s="544" t="s">
        <v>1674</v>
      </c>
      <c r="C20" s="76" t="s">
        <v>1675</v>
      </c>
      <c r="D20" s="77">
        <f>SUMIFS('0718 4度C'!$AC:$AC,'0718 4度C'!$A:$A,"新豐6線",'0718 4度C'!$B:$B,"平均")</f>
        <v>2</v>
      </c>
      <c r="E20" s="78">
        <f>SUMIFS('0718 4度C'!$AC:$AC,'0718 4度C'!$A:$A,"新豐2線",'0718 4度C'!$B:$B,"平均")</f>
        <v>5</v>
      </c>
      <c r="F20" s="78">
        <f>SUMIFS('0718 4度C'!$AC:$AC,'0718 4度C'!$A:$A,"新豐5線",'0718 4度C'!$B:$B,"平均")</f>
        <v>7</v>
      </c>
      <c r="G20" s="78">
        <f>SUMIFS('0718 4度C'!$AC:$AC,'0718 4度C'!$A:$A,"新豐7線",'0718 4度C'!$B:$B,"平均")</f>
        <v>6</v>
      </c>
      <c r="H20" s="78">
        <f>SUMIFS('0718 4度C'!$AC:$AC,'0718 4度C'!$A:$A,"新豐3線",'0718 4度C'!$B:$B,"平均")</f>
        <v>4</v>
      </c>
      <c r="I20" s="78">
        <f>SUMIFS('0718 4度C'!$AC:$AC,'0718 4度C'!$A:$A,"新豐1線",'0718 4度C'!$B:$B,"平均")</f>
        <v>8</v>
      </c>
      <c r="J20" s="79">
        <f>SUMIFS('0718 4度C'!$AC:$AC,'0718 4度C'!$A:$A,"新豐10線",'0718 4度C'!$B:$B,"平均")</f>
        <v>4</v>
      </c>
      <c r="K20" s="80">
        <f>SUMIFS('0718 4度C'!$AC:$AC,'0718 4度C'!$A:$A,"新豐8線",'0718 4度C'!$B:$B,"平均")</f>
        <v>6</v>
      </c>
      <c r="L20" s="78">
        <f>SUMIFS('0718 4度C'!$AC:$AC,'0718 4度C'!$A:$A,"新豐9線",'0718 4度C'!$B:$B,"平均")</f>
        <v>6</v>
      </c>
      <c r="M20" s="79">
        <f>SUMIFS('0718 4度C'!$AC:$AC,'0718 4度C'!$A:$A,"新豐4線",'0718 4度C'!$B:$B,"平均")</f>
        <v>7</v>
      </c>
    </row>
    <row r="21" spans="2:13" ht="17.25" customHeight="1">
      <c r="B21" s="545"/>
      <c r="C21" s="76" t="s">
        <v>1676</v>
      </c>
      <c r="D21" s="77">
        <f>SUMIFS('0718 4度C'!$AD:$AD,'0718 4度C'!$A:$A,"新豐6線",'0718 4度C'!$B:$B,"平均")</f>
        <v>0</v>
      </c>
      <c r="E21" s="78">
        <f>SUMIFS('0718 4度C'!$AD:$AD,'0718 4度C'!$A:$A,"新豐2線",'0718 4度C'!$B:$B,"平均")</f>
        <v>0</v>
      </c>
      <c r="F21" s="78">
        <f>SUMIFS('0718 4度C'!$AD:$AD,'0718 4度C'!$A:$A,"新豐5線",'0718 4度C'!$B:$B,"平均")</f>
        <v>0</v>
      </c>
      <c r="G21" s="78">
        <f>SUMIFS('0718 4度C'!$AD:$AD,'0718 4度C'!$A:$A,"新豐7線",'0718 4度C'!$B:$B,"平均")</f>
        <v>0</v>
      </c>
      <c r="H21" s="78">
        <f>SUMIFS('0718 4度C'!$AD:$AD,'0718 4度C'!$A:$A,"新豐3線",'0718 4度C'!$B:$B,"平均")</f>
        <v>0</v>
      </c>
      <c r="I21" s="78">
        <f>SUMIFS('0718 4度C'!$AD:$AD,'0718 4度C'!$A:$A,"新豐1線",'0718 4度C'!$B:$B,"平均")</f>
        <v>0</v>
      </c>
      <c r="J21" s="79">
        <f>SUMIFS('0718 4度C'!$AD:$AD,'0718 4度C'!$A:$A,"新豐10線",'0718 4度C'!$B:$B,"平均")</f>
        <v>0</v>
      </c>
      <c r="K21" s="80">
        <f>SUMIFS('0718 4度C'!$AD:$AD,'0718 4度C'!$A:$A,"新豐8線",'0718 4度C'!$B:$B,"平均")</f>
        <v>0</v>
      </c>
      <c r="L21" s="78">
        <f>SUMIFS('0718 4度C'!$AD:$AD,'0718 4度C'!$A:$A,"新豐9線",'0718 4度C'!$B:$B,"平均")</f>
        <v>0</v>
      </c>
      <c r="M21" s="79">
        <f>SUMIFS('0718 4度C'!$AD:$AD,'0718 4度C'!$A:$A,"新豐4線",'0718 4度C'!$B:$B,"平均")</f>
        <v>0</v>
      </c>
    </row>
    <row r="22" spans="2:13" ht="17.25" customHeight="1">
      <c r="B22" s="546" t="s">
        <v>1677</v>
      </c>
      <c r="C22" s="547"/>
      <c r="D22" s="81">
        <f>SUMIFS('0718 4度C'!$I:$I,'0718 4度C'!$A:$A,"新豐6線",'0718 4度C'!$B:$B,"平均")</f>
        <v>15.5</v>
      </c>
      <c r="E22" s="82">
        <f>SUMIFS('0718 4度C'!$I:$I,'0718 4度C'!$A:$A,"新豐2線",'0718 4度C'!$B:$B,"平均")</f>
        <v>17.399999999999999</v>
      </c>
      <c r="F22" s="82">
        <f>SUMIFS('0718 4度C'!$I:$I,'0718 4度C'!$A:$A,"新豐5線",'0718 4度C'!$B:$B,"平均")</f>
        <v>18.285714285714285</v>
      </c>
      <c r="G22" s="82">
        <f>SUMIFS('0718 4度C'!$I:$I,'0718 4度C'!$A:$A,"新豐7線",'0718 4度C'!$B:$B,"平均")</f>
        <v>15.5</v>
      </c>
      <c r="H22" s="82">
        <f>SUMIFS('0718 4度C'!$I:$I,'0718 4度C'!$A:$A,"新豐3線",'0718 4度C'!$B:$B,"平均")</f>
        <v>9.75</v>
      </c>
      <c r="I22" s="82">
        <f>SUMIFS('0718 4度C'!$I:$I,'0718 4度C'!$A:$A,"新豐1線",'0718 4度C'!$B:$B,"平均")</f>
        <v>17.5</v>
      </c>
      <c r="J22" s="83">
        <f>SUMIFS('0718 4度C'!$I:$I,'0718 4度C'!$A:$A,"新豐10線",'0718 4度C'!$B:$B,"平均")</f>
        <v>9.75</v>
      </c>
      <c r="K22" s="81">
        <f>SUMIFS('0718 4度C'!$I:$I,'0718 4度C'!$A:$A,"新豐8線",'0718 4度C'!$B:$B,"平均")</f>
        <v>17.333333333333332</v>
      </c>
      <c r="L22" s="82">
        <f>SUMIFS('0718 4度C'!$I:$I,'0718 4度C'!$A:$A,"新豐9線",'0718 4度C'!$B:$B,"平均")</f>
        <v>17.166666666666668</v>
      </c>
      <c r="M22" s="83">
        <f>SUMIFS('0718 4度C'!$I:$I,'0718 4度C'!$A:$A,"新豐4線",'0718 4度C'!$B:$B,"平均")</f>
        <v>16.714285714285715</v>
      </c>
    </row>
    <row r="23" spans="2:13" ht="17.25" customHeight="1">
      <c r="B23" s="546" t="s">
        <v>1678</v>
      </c>
      <c r="C23" s="547"/>
      <c r="D23" s="84" t="s">
        <v>54</v>
      </c>
      <c r="E23" s="85" t="s">
        <v>55</v>
      </c>
      <c r="F23" s="85" t="s">
        <v>1679</v>
      </c>
      <c r="G23" s="85" t="s">
        <v>1679</v>
      </c>
      <c r="H23" s="85" t="s">
        <v>56</v>
      </c>
      <c r="I23" s="85" t="s">
        <v>54</v>
      </c>
      <c r="J23" s="86" t="s">
        <v>56</v>
      </c>
      <c r="K23" s="84" t="s">
        <v>1680</v>
      </c>
      <c r="L23" s="85" t="s">
        <v>1680</v>
      </c>
      <c r="M23" s="86" t="s">
        <v>1680</v>
      </c>
    </row>
    <row r="24" spans="2:13" ht="17.25" customHeight="1">
      <c r="B24" s="546" t="s">
        <v>1681</v>
      </c>
      <c r="C24" s="547"/>
      <c r="D24" s="84"/>
      <c r="E24" s="85"/>
      <c r="F24" s="85" t="s">
        <v>1682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1683</v>
      </c>
      <c r="C25" s="549"/>
      <c r="D25" s="87"/>
      <c r="E25" s="88" t="s">
        <v>1684</v>
      </c>
      <c r="F25" s="542" t="s">
        <v>126</v>
      </c>
      <c r="G25" s="543"/>
      <c r="H25" s="88" t="s">
        <v>1685</v>
      </c>
      <c r="I25" s="88" t="s">
        <v>1686</v>
      </c>
      <c r="J25" s="89" t="s">
        <v>1685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41" activePane="bottomLeft" state="frozen"/>
      <selection activeCell="A10" sqref="A10"/>
      <selection pane="bottomLeft" activeCell="A8" sqref="A8:A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1687</v>
      </c>
      <c r="B1" s="1"/>
      <c r="C1" s="2" t="s">
        <v>1688</v>
      </c>
      <c r="D1" s="3">
        <f>SUM(F5:F69)</f>
        <v>158125</v>
      </c>
      <c r="E1" s="333" t="s">
        <v>1689</v>
      </c>
      <c r="F1" s="1">
        <f>SUM(G5:G69)</f>
        <v>5403649.370000002</v>
      </c>
      <c r="G1" s="1" t="s">
        <v>1690</v>
      </c>
      <c r="H1" s="4">
        <f>L7+L13+L47+L56+L21+L61+L35+L42+L28+L69</f>
        <v>154.9</v>
      </c>
      <c r="I1" s="654" t="s">
        <v>1691</v>
      </c>
      <c r="J1" s="654"/>
      <c r="K1" s="654"/>
      <c r="L1" s="654" t="s">
        <v>1692</v>
      </c>
      <c r="M1" s="654"/>
      <c r="N1" s="654"/>
      <c r="O1" s="654" t="s">
        <v>1693</v>
      </c>
      <c r="P1" s="654"/>
      <c r="Q1" s="654"/>
      <c r="R1" s="654"/>
      <c r="S1" s="654" t="s">
        <v>1694</v>
      </c>
      <c r="T1" s="654"/>
      <c r="U1" s="654"/>
      <c r="V1" s="654"/>
      <c r="W1" s="654"/>
      <c r="X1" s="654"/>
      <c r="Y1" s="5" t="s">
        <v>1695</v>
      </c>
      <c r="Z1" s="6" t="s">
        <v>1696</v>
      </c>
      <c r="AA1" s="655" t="s">
        <v>1697</v>
      </c>
      <c r="AB1" s="655"/>
      <c r="AC1" s="92" t="s">
        <v>1695</v>
      </c>
      <c r="AD1" s="6" t="s">
        <v>1698</v>
      </c>
      <c r="AE1" s="654" t="s">
        <v>1699</v>
      </c>
      <c r="AF1" s="656"/>
      <c r="AG1" s="656"/>
    </row>
    <row r="2" spans="1:33" ht="26.25" customHeight="1">
      <c r="A2" s="25">
        <v>46221</v>
      </c>
      <c r="B2" s="26" t="s">
        <v>433</v>
      </c>
      <c r="C2" s="2" t="s">
        <v>1665</v>
      </c>
      <c r="D2" s="8">
        <f>AVERAGE(N7,N13,N47,N56,N21,N61,N28,N35,N42,N69)</f>
        <v>151.80998558707284</v>
      </c>
      <c r="E2" s="9" t="s">
        <v>0</v>
      </c>
      <c r="F2" s="10">
        <f>F1/D1</f>
        <v>34.173276648221353</v>
      </c>
      <c r="G2" s="1" t="s">
        <v>1700</v>
      </c>
      <c r="H2" s="343">
        <f>COUNT(H5:H69)</f>
        <v>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SUM(Y7+Y13+Y21+Y28+Y35+Y42+Y47+Y56+Y61+Y69)</f>
        <v>0</v>
      </c>
      <c r="Z2" s="11">
        <f>SUM(Z7+Z13+Z21+Z28+Z35+Z42+Z47+Z56+Z61+Z69)</f>
        <v>0</v>
      </c>
      <c r="AA2" s="655"/>
      <c r="AB2" s="655"/>
      <c r="AC2" s="11">
        <v>55</v>
      </c>
      <c r="AD2" s="11">
        <f>SUM(AD7+AD13+AD21+AD28+AD35+AD42+AD47+AD56+AD61+AD69)</f>
        <v>0</v>
      </c>
      <c r="AE2" s="656"/>
      <c r="AF2" s="656"/>
      <c r="AG2" s="656"/>
    </row>
    <row r="3" spans="1:33" ht="40.5" customHeight="1">
      <c r="A3" s="612" t="s">
        <v>1701</v>
      </c>
      <c r="B3" s="612" t="s">
        <v>1702</v>
      </c>
      <c r="C3" s="612" t="s">
        <v>1703</v>
      </c>
      <c r="D3" s="612"/>
      <c r="E3" s="652" t="s">
        <v>1704</v>
      </c>
      <c r="F3" s="612" t="s">
        <v>1705</v>
      </c>
      <c r="G3" s="652" t="s">
        <v>1706</v>
      </c>
      <c r="H3" s="645" t="s">
        <v>1707</v>
      </c>
      <c r="I3" s="644" t="s">
        <v>1708</v>
      </c>
      <c r="J3" s="641" t="s">
        <v>1709</v>
      </c>
      <c r="K3" s="650" t="s">
        <v>1665</v>
      </c>
      <c r="L3" s="644" t="s">
        <v>1708</v>
      </c>
      <c r="M3" s="641" t="s">
        <v>1709</v>
      </c>
      <c r="N3" s="650" t="s">
        <v>1665</v>
      </c>
      <c r="O3" s="644" t="s">
        <v>1708</v>
      </c>
      <c r="P3" s="650" t="s">
        <v>1665</v>
      </c>
      <c r="Q3" s="642" t="s">
        <v>1710</v>
      </c>
      <c r="R3" s="621" t="s">
        <v>1711</v>
      </c>
      <c r="S3" s="651" t="s">
        <v>1</v>
      </c>
      <c r="T3" s="651"/>
      <c r="U3" s="645" t="s">
        <v>2</v>
      </c>
      <c r="V3" s="645" t="s">
        <v>1712</v>
      </c>
      <c r="W3" s="612" t="s">
        <v>1713</v>
      </c>
      <c r="X3" s="612"/>
      <c r="Y3" s="646" t="s">
        <v>1714</v>
      </c>
      <c r="Z3" s="611"/>
      <c r="AA3" s="647" t="s">
        <v>1715</v>
      </c>
      <c r="AB3" s="648"/>
      <c r="AC3" s="646" t="s">
        <v>1716</v>
      </c>
      <c r="AD3" s="611"/>
      <c r="AE3" s="641" t="s">
        <v>1709</v>
      </c>
      <c r="AF3" s="642" t="s">
        <v>1717</v>
      </c>
      <c r="AG3" s="621" t="s">
        <v>1711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42" t="s">
        <v>3</v>
      </c>
      <c r="T4" s="342" t="s">
        <v>4</v>
      </c>
      <c r="U4" s="645"/>
      <c r="V4" s="645"/>
      <c r="W4" s="333" t="s">
        <v>1718</v>
      </c>
      <c r="X4" s="333" t="s">
        <v>1719</v>
      </c>
      <c r="Y4" s="332" t="s">
        <v>1672</v>
      </c>
      <c r="Z4" s="332" t="s">
        <v>1720</v>
      </c>
      <c r="AA4" s="649"/>
      <c r="AB4" s="648"/>
      <c r="AC4" s="332" t="s">
        <v>1721</v>
      </c>
      <c r="AD4" s="332" t="s">
        <v>1722</v>
      </c>
      <c r="AE4" s="641"/>
      <c r="AF4" s="642"/>
      <c r="AG4" s="621"/>
    </row>
    <row r="5" spans="1:33">
      <c r="A5" s="643" t="s">
        <v>1723</v>
      </c>
      <c r="B5" s="27" t="s">
        <v>5</v>
      </c>
      <c r="C5" s="657" t="s">
        <v>14</v>
      </c>
      <c r="D5" s="657"/>
      <c r="E5" s="27">
        <v>50.92</v>
      </c>
      <c r="F5" s="342">
        <v>2113</v>
      </c>
      <c r="G5" s="333">
        <f t="shared" ref="G5:G6" si="0">E5*F5</f>
        <v>107593.96</v>
      </c>
      <c r="H5" s="31" t="s">
        <v>40</v>
      </c>
      <c r="I5" s="340">
        <v>15</v>
      </c>
      <c r="J5" s="29">
        <v>2000</v>
      </c>
      <c r="K5" s="12">
        <f t="shared" ref="K5:K68" si="1">J5/I5</f>
        <v>133.33333333333334</v>
      </c>
      <c r="L5" s="340">
        <v>15</v>
      </c>
      <c r="M5" s="13">
        <f t="shared" ref="M5:M6" si="2">F5/V5*60</f>
        <v>1920.909090909093</v>
      </c>
      <c r="N5" s="12">
        <f t="shared" ref="N5:N68" si="3">M5/L5</f>
        <v>128.0606060606062</v>
      </c>
      <c r="O5" s="14">
        <f t="shared" ref="O5:O68" si="4">L5-I5</f>
        <v>0</v>
      </c>
      <c r="P5" s="15">
        <f t="shared" ref="P5:P68" si="5">N5-K5</f>
        <v>-5.2727272727271384</v>
      </c>
      <c r="Q5" s="338">
        <f t="shared" ref="Q5:Q68" si="6">N5/K5</f>
        <v>0.96045454545454645</v>
      </c>
      <c r="R5" s="616">
        <f>Q7</f>
        <v>0.96065584415584415</v>
      </c>
      <c r="S5" s="32">
        <v>0.70833333333333337</v>
      </c>
      <c r="T5" s="32">
        <v>0.75416666666666665</v>
      </c>
      <c r="U5" s="333"/>
      <c r="V5" s="341">
        <f t="shared" ref="V5:V6" si="7">(T5-S5)*24*60</f>
        <v>65.999999999999929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5" si="8">M5-J5</f>
        <v>-79.090909090906962</v>
      </c>
      <c r="AF5" s="338">
        <f t="shared" ref="AF5:AF68" si="9">M5/J5</f>
        <v>0.96045454545454656</v>
      </c>
      <c r="AG5" s="616">
        <f>AF7</f>
        <v>0.96065584415584415</v>
      </c>
    </row>
    <row r="6" spans="1:33">
      <c r="A6" s="644" t="s">
        <v>1724</v>
      </c>
      <c r="B6" s="27" t="s">
        <v>5</v>
      </c>
      <c r="C6" s="657" t="s">
        <v>19</v>
      </c>
      <c r="D6" s="657"/>
      <c r="E6" s="27">
        <v>50.98</v>
      </c>
      <c r="F6" s="342">
        <v>2242</v>
      </c>
      <c r="G6" s="333">
        <f t="shared" si="0"/>
        <v>114297.15999999999</v>
      </c>
      <c r="H6" s="31" t="s">
        <v>40</v>
      </c>
      <c r="I6" s="340">
        <v>16</v>
      </c>
      <c r="J6" s="29">
        <v>2000</v>
      </c>
      <c r="K6" s="12">
        <f t="shared" si="1"/>
        <v>125</v>
      </c>
      <c r="L6" s="340">
        <v>16</v>
      </c>
      <c r="M6" s="13">
        <f t="shared" si="2"/>
        <v>1921.7142857142837</v>
      </c>
      <c r="N6" s="12">
        <f t="shared" si="3"/>
        <v>120.10714285714273</v>
      </c>
      <c r="O6" s="14">
        <f t="shared" si="4"/>
        <v>0</v>
      </c>
      <c r="P6" s="15">
        <f t="shared" si="5"/>
        <v>-4.8928571428572667</v>
      </c>
      <c r="Q6" s="338">
        <f t="shared" si="6"/>
        <v>0.96085714285714185</v>
      </c>
      <c r="R6" s="616"/>
      <c r="S6" s="32">
        <v>0.75763888888888886</v>
      </c>
      <c r="T6" s="32">
        <v>0.80625000000000002</v>
      </c>
      <c r="U6" s="333">
        <f t="shared" ref="U6" si="10">IF(S6=TIME(17,0,0),"",(S6-T5)*24*60)</f>
        <v>4.9999999999999822</v>
      </c>
      <c r="V6" s="341">
        <f t="shared" si="7"/>
        <v>70.000000000000071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-78.285714285716267</v>
      </c>
      <c r="AF6" s="338">
        <f t="shared" si="9"/>
        <v>0.96085714285714185</v>
      </c>
      <c r="AG6" s="616"/>
    </row>
    <row r="7" spans="1:33">
      <c r="A7" s="644" t="s">
        <v>1724</v>
      </c>
      <c r="B7" s="27" t="s">
        <v>1725</v>
      </c>
      <c r="C7" s="658"/>
      <c r="D7" s="658"/>
      <c r="E7" s="339"/>
      <c r="F7" s="28"/>
      <c r="G7" s="12"/>
      <c r="H7" s="342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1921.3116883116884</v>
      </c>
      <c r="N7" s="12">
        <f t="shared" si="3"/>
        <v>123.95559279430248</v>
      </c>
      <c r="O7" s="14">
        <f t="shared" si="4"/>
        <v>0</v>
      </c>
      <c r="P7" s="15">
        <f t="shared" si="5"/>
        <v>-5.0766652702136525</v>
      </c>
      <c r="Q7" s="338">
        <f t="shared" si="6"/>
        <v>0.96065584415584415</v>
      </c>
      <c r="R7" s="616"/>
      <c r="S7" s="32"/>
      <c r="T7" s="32"/>
      <c r="U7" s="333"/>
      <c r="V7" s="341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-78.688311688311614</v>
      </c>
      <c r="AF7" s="338">
        <f t="shared" si="9"/>
        <v>0.96065584415584415</v>
      </c>
      <c r="AG7" s="616"/>
    </row>
    <row r="8" spans="1:33" ht="15.75" customHeight="1">
      <c r="A8" s="640" t="s">
        <v>1726</v>
      </c>
      <c r="B8" s="27" t="s">
        <v>8</v>
      </c>
      <c r="C8" s="638" t="s">
        <v>10</v>
      </c>
      <c r="D8" s="639"/>
      <c r="E8" s="27">
        <v>39.799999999999997</v>
      </c>
      <c r="F8" s="342">
        <v>3600</v>
      </c>
      <c r="G8" s="333">
        <f t="shared" ref="G8:G12" si="11">E8*F8</f>
        <v>143280</v>
      </c>
      <c r="H8" s="31">
        <v>2</v>
      </c>
      <c r="I8" s="340">
        <v>17</v>
      </c>
      <c r="J8" s="29">
        <v>1500</v>
      </c>
      <c r="K8" s="12">
        <f t="shared" si="1"/>
        <v>88.235294117647058</v>
      </c>
      <c r="L8" s="340">
        <v>17</v>
      </c>
      <c r="M8" s="13">
        <f t="shared" ref="M8:M12" si="12">F8/V8*60</f>
        <v>1430.4635761589404</v>
      </c>
      <c r="N8" s="12">
        <f t="shared" si="3"/>
        <v>84.144916244643554</v>
      </c>
      <c r="O8" s="14">
        <f t="shared" si="4"/>
        <v>0</v>
      </c>
      <c r="P8" s="15">
        <f t="shared" si="5"/>
        <v>-4.0903778730035043</v>
      </c>
      <c r="Q8" s="338">
        <f t="shared" si="6"/>
        <v>0.95364238410596025</v>
      </c>
      <c r="R8" s="616">
        <f>Q13</f>
        <v>0.95451940310212968</v>
      </c>
      <c r="S8" s="32">
        <v>8.3333333333333329E-2</v>
      </c>
      <c r="T8" s="32">
        <v>0.18819444444444444</v>
      </c>
      <c r="U8" s="333"/>
      <c r="V8" s="341">
        <f t="shared" ref="V8:V12" si="13">(T8-S8)*24*60</f>
        <v>151</v>
      </c>
      <c r="W8" s="16">
        <f>T8</f>
        <v>0.18819444444444444</v>
      </c>
      <c r="X8" s="16">
        <f>S9</f>
        <v>0.20694444444444443</v>
      </c>
      <c r="Y8" s="16"/>
      <c r="Z8" s="16"/>
      <c r="AA8" s="612"/>
      <c r="AB8" s="612"/>
      <c r="AC8" s="18">
        <v>5</v>
      </c>
      <c r="AD8" s="18"/>
      <c r="AE8" s="14">
        <f t="shared" si="8"/>
        <v>-69.536423841059559</v>
      </c>
      <c r="AF8" s="338">
        <f t="shared" si="9"/>
        <v>0.95364238410596025</v>
      </c>
      <c r="AG8" s="616">
        <f>AF13</f>
        <v>0.95451940310212957</v>
      </c>
    </row>
    <row r="9" spans="1:33" ht="15.75" customHeight="1">
      <c r="A9" s="640" t="s">
        <v>175</v>
      </c>
      <c r="B9" s="27" t="s">
        <v>8</v>
      </c>
      <c r="C9" s="638" t="s">
        <v>63</v>
      </c>
      <c r="D9" s="639"/>
      <c r="E9" s="27">
        <v>39.46</v>
      </c>
      <c r="F9" s="342">
        <v>3215</v>
      </c>
      <c r="G9" s="333">
        <f t="shared" si="11"/>
        <v>126863.90000000001</v>
      </c>
      <c r="H9" s="31" t="s">
        <v>40</v>
      </c>
      <c r="I9" s="340">
        <v>15</v>
      </c>
      <c r="J9" s="29">
        <v>1500</v>
      </c>
      <c r="K9" s="12">
        <f t="shared" si="1"/>
        <v>100</v>
      </c>
      <c r="L9" s="340">
        <v>15</v>
      </c>
      <c r="M9" s="13">
        <f t="shared" si="12"/>
        <v>1428.8888888888887</v>
      </c>
      <c r="N9" s="12">
        <f t="shared" si="3"/>
        <v>95.259259259259252</v>
      </c>
      <c r="O9" s="14">
        <f t="shared" si="4"/>
        <v>0</v>
      </c>
      <c r="P9" s="15">
        <f t="shared" si="5"/>
        <v>-4.7407407407407476</v>
      </c>
      <c r="Q9" s="338">
        <f t="shared" si="6"/>
        <v>0.95259259259259255</v>
      </c>
      <c r="R9" s="616"/>
      <c r="S9" s="32">
        <v>0.20694444444444443</v>
      </c>
      <c r="T9" s="32">
        <v>0.30069444444444443</v>
      </c>
      <c r="U9" s="333">
        <f t="shared" ref="U9:U12" si="14">IF(S9=TIME(17,0,0),"",(S9-T8)*24*60)</f>
        <v>26.999999999999986</v>
      </c>
      <c r="V9" s="341">
        <f t="shared" si="13"/>
        <v>135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-71.111111111111313</v>
      </c>
      <c r="AF9" s="338">
        <f t="shared" si="9"/>
        <v>0.95259259259259244</v>
      </c>
      <c r="AG9" s="616"/>
    </row>
    <row r="10" spans="1:33" ht="15.75" customHeight="1">
      <c r="A10" s="640" t="s">
        <v>175</v>
      </c>
      <c r="B10" s="27" t="s">
        <v>8</v>
      </c>
      <c r="C10" s="638" t="s">
        <v>74</v>
      </c>
      <c r="D10" s="639"/>
      <c r="E10" s="27">
        <v>39.520000000000003</v>
      </c>
      <c r="F10" s="342">
        <v>2425</v>
      </c>
      <c r="G10" s="333">
        <f t="shared" si="11"/>
        <v>95836.000000000015</v>
      </c>
      <c r="H10" s="31" t="s">
        <v>40</v>
      </c>
      <c r="I10" s="340">
        <v>19</v>
      </c>
      <c r="J10" s="29">
        <v>1500</v>
      </c>
      <c r="K10" s="12">
        <f t="shared" si="1"/>
        <v>78.94736842105263</v>
      </c>
      <c r="L10" s="340">
        <v>19</v>
      </c>
      <c r="M10" s="13">
        <f t="shared" si="12"/>
        <v>1426.4705882352935</v>
      </c>
      <c r="N10" s="12">
        <f t="shared" si="3"/>
        <v>75.07739938080492</v>
      </c>
      <c r="O10" s="14">
        <f t="shared" si="4"/>
        <v>0</v>
      </c>
      <c r="P10" s="15">
        <f t="shared" si="5"/>
        <v>-3.8699690402477103</v>
      </c>
      <c r="Q10" s="338">
        <f t="shared" si="6"/>
        <v>0.95098039215686236</v>
      </c>
      <c r="R10" s="616"/>
      <c r="S10" s="32">
        <v>0.30416666666666664</v>
      </c>
      <c r="T10" s="32">
        <v>0.375</v>
      </c>
      <c r="U10" s="333">
        <f t="shared" si="14"/>
        <v>4.9999999999999822</v>
      </c>
      <c r="V10" s="341">
        <f t="shared" si="13"/>
        <v>102.00000000000004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-73.529411764706538</v>
      </c>
      <c r="AF10" s="338">
        <f t="shared" si="9"/>
        <v>0.95098039215686225</v>
      </c>
      <c r="AG10" s="616"/>
    </row>
    <row r="11" spans="1:33" ht="15.75" customHeight="1">
      <c r="A11" s="640" t="s">
        <v>175</v>
      </c>
      <c r="B11" s="27" t="s">
        <v>8</v>
      </c>
      <c r="C11" s="638" t="s">
        <v>9</v>
      </c>
      <c r="D11" s="639"/>
      <c r="E11" s="27">
        <v>39.619999999999997</v>
      </c>
      <c r="F11" s="342">
        <v>4207</v>
      </c>
      <c r="G11" s="333">
        <f t="shared" si="11"/>
        <v>166681.34</v>
      </c>
      <c r="H11" s="31" t="s">
        <v>40</v>
      </c>
      <c r="I11" s="340">
        <v>19</v>
      </c>
      <c r="J11" s="29">
        <v>1500</v>
      </c>
      <c r="K11" s="12">
        <f t="shared" si="1"/>
        <v>78.94736842105263</v>
      </c>
      <c r="L11" s="340">
        <v>19</v>
      </c>
      <c r="M11" s="13">
        <f t="shared" si="12"/>
        <v>1434.2045454545455</v>
      </c>
      <c r="N11" s="12">
        <f t="shared" si="3"/>
        <v>75.484449760765557</v>
      </c>
      <c r="O11" s="14">
        <f t="shared" si="4"/>
        <v>0</v>
      </c>
      <c r="P11" s="15">
        <f t="shared" si="5"/>
        <v>-3.4629186602870732</v>
      </c>
      <c r="Q11" s="338">
        <f t="shared" si="6"/>
        <v>0.95613636363636378</v>
      </c>
      <c r="R11" s="616"/>
      <c r="S11" s="32">
        <v>0.37847222222222221</v>
      </c>
      <c r="T11" s="32">
        <v>0.50069444444444444</v>
      </c>
      <c r="U11" s="333">
        <f t="shared" si="14"/>
        <v>4.9999999999999822</v>
      </c>
      <c r="V11" s="341">
        <f t="shared" si="13"/>
        <v>176</v>
      </c>
      <c r="W11" s="16">
        <f>T11</f>
        <v>0.50069444444444444</v>
      </c>
      <c r="X11" s="16">
        <f>S12</f>
        <v>0.54097222222222219</v>
      </c>
      <c r="Y11" s="16"/>
      <c r="Z11" s="16"/>
      <c r="AA11" s="607"/>
      <c r="AB11" s="608"/>
      <c r="AC11" s="18"/>
      <c r="AD11" s="18"/>
      <c r="AE11" s="14">
        <f t="shared" si="8"/>
        <v>-65.795454545454504</v>
      </c>
      <c r="AF11" s="338">
        <f t="shared" si="9"/>
        <v>0.95613636363636367</v>
      </c>
      <c r="AG11" s="616"/>
    </row>
    <row r="12" spans="1:33" ht="15.75" customHeight="1">
      <c r="A12" s="640" t="s">
        <v>175</v>
      </c>
      <c r="B12" s="27" t="s">
        <v>8</v>
      </c>
      <c r="C12" s="638" t="s">
        <v>10</v>
      </c>
      <c r="D12" s="639"/>
      <c r="E12" s="27">
        <v>39.799999999999997</v>
      </c>
      <c r="F12" s="342">
        <v>2542</v>
      </c>
      <c r="G12" s="333">
        <f t="shared" si="11"/>
        <v>101171.59999999999</v>
      </c>
      <c r="H12" s="31" t="s">
        <v>40</v>
      </c>
      <c r="I12" s="340">
        <v>17</v>
      </c>
      <c r="J12" s="29">
        <v>1500</v>
      </c>
      <c r="K12" s="12">
        <f t="shared" si="1"/>
        <v>88.235294117647058</v>
      </c>
      <c r="L12" s="340">
        <v>17</v>
      </c>
      <c r="M12" s="13">
        <f t="shared" si="12"/>
        <v>1438.8679245283026</v>
      </c>
      <c r="N12" s="12">
        <f t="shared" si="3"/>
        <v>84.639289678135455</v>
      </c>
      <c r="O12" s="14">
        <f t="shared" si="4"/>
        <v>0</v>
      </c>
      <c r="P12" s="15">
        <f t="shared" si="5"/>
        <v>-3.5960044395116029</v>
      </c>
      <c r="Q12" s="338">
        <f t="shared" si="6"/>
        <v>0.95924528301886847</v>
      </c>
      <c r="R12" s="616"/>
      <c r="S12" s="32">
        <v>0.54097222222222219</v>
      </c>
      <c r="T12" s="32">
        <v>0.61458333333333326</v>
      </c>
      <c r="U12" s="333">
        <f t="shared" si="14"/>
        <v>57.999999999999957</v>
      </c>
      <c r="V12" s="341">
        <f t="shared" si="13"/>
        <v>105.99999999999994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-61.132075471697362</v>
      </c>
      <c r="AF12" s="338">
        <f t="shared" si="9"/>
        <v>0.95924528301886847</v>
      </c>
      <c r="AG12" s="616"/>
    </row>
    <row r="13" spans="1:33" ht="16.5" customHeight="1">
      <c r="A13" s="640" t="s">
        <v>175</v>
      </c>
      <c r="B13" s="27" t="s">
        <v>174</v>
      </c>
      <c r="C13" s="658"/>
      <c r="D13" s="658"/>
      <c r="E13" s="339"/>
      <c r="F13" s="29"/>
      <c r="G13" s="13"/>
      <c r="H13" s="342"/>
      <c r="I13" s="21">
        <v>17.399999999999999</v>
      </c>
      <c r="J13" s="29">
        <v>1500</v>
      </c>
      <c r="K13" s="12">
        <f t="shared" si="1"/>
        <v>86.206896551724142</v>
      </c>
      <c r="L13" s="21">
        <v>17.399999999999999</v>
      </c>
      <c r="M13" s="13">
        <f>AVERAGE(M8:M12)</f>
        <v>1431.7791046531943</v>
      </c>
      <c r="N13" s="12">
        <f t="shared" si="3"/>
        <v>82.286155439838765</v>
      </c>
      <c r="O13" s="14">
        <f t="shared" si="4"/>
        <v>0</v>
      </c>
      <c r="P13" s="15">
        <f t="shared" si="5"/>
        <v>-3.920741111885377</v>
      </c>
      <c r="Q13" s="338">
        <f t="shared" si="6"/>
        <v>0.95451940310212968</v>
      </c>
      <c r="R13" s="616"/>
      <c r="S13" s="32"/>
      <c r="T13" s="32"/>
      <c r="U13" s="12"/>
      <c r="V13" s="341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-68.220895346805719</v>
      </c>
      <c r="AF13" s="338">
        <f t="shared" si="9"/>
        <v>0.95451940310212957</v>
      </c>
      <c r="AG13" s="616"/>
    </row>
    <row r="14" spans="1:33" ht="16.5" customHeight="1">
      <c r="A14" s="636" t="s">
        <v>1727</v>
      </c>
      <c r="B14" s="342" t="s">
        <v>1134</v>
      </c>
      <c r="C14" s="659" t="s">
        <v>1035</v>
      </c>
      <c r="D14" s="659"/>
      <c r="E14" s="27">
        <v>31.11</v>
      </c>
      <c r="F14" s="342">
        <v>3650</v>
      </c>
      <c r="G14" s="333">
        <f t="shared" ref="G14:G20" si="15">E14*F14</f>
        <v>113551.5</v>
      </c>
      <c r="H14" s="31" t="s">
        <v>40</v>
      </c>
      <c r="I14" s="340">
        <v>14</v>
      </c>
      <c r="J14" s="29">
        <v>2000</v>
      </c>
      <c r="K14" s="12">
        <f t="shared" si="1"/>
        <v>142.85714285714286</v>
      </c>
      <c r="L14" s="340">
        <v>14</v>
      </c>
      <c r="M14" s="13">
        <f t="shared" ref="M14:M20" si="16">F14/V14*60</f>
        <v>1904.3478260869563</v>
      </c>
      <c r="N14" s="12">
        <f t="shared" si="3"/>
        <v>136.02484472049687</v>
      </c>
      <c r="O14" s="14">
        <f t="shared" si="4"/>
        <v>0</v>
      </c>
      <c r="P14" s="15">
        <f t="shared" si="5"/>
        <v>-6.8322981366459885</v>
      </c>
      <c r="Q14" s="338">
        <f t="shared" si="6"/>
        <v>0.95217391304347809</v>
      </c>
      <c r="R14" s="616">
        <f>Q21</f>
        <v>0.95868935417685486</v>
      </c>
      <c r="S14" s="32">
        <v>8.3333333333333329E-2</v>
      </c>
      <c r="T14" s="32">
        <v>0.16319444444444445</v>
      </c>
      <c r="U14" s="333"/>
      <c r="V14" s="341">
        <f t="shared" ref="V14:V20" si="17">(T14-S14)*24*60</f>
        <v>115.00000000000001</v>
      </c>
      <c r="W14" s="16">
        <f>T14</f>
        <v>0.16319444444444445</v>
      </c>
      <c r="X14" s="16">
        <f>S15</f>
        <v>0.18333333333333335</v>
      </c>
      <c r="Y14" s="20"/>
      <c r="Z14" s="20"/>
      <c r="AA14" s="612"/>
      <c r="AB14" s="612"/>
      <c r="AC14" s="18">
        <v>7</v>
      </c>
      <c r="AD14" s="18"/>
      <c r="AE14" s="14">
        <f t="shared" si="8"/>
        <v>-95.652173913043725</v>
      </c>
      <c r="AF14" s="338">
        <f t="shared" si="9"/>
        <v>0.95217391304347809</v>
      </c>
      <c r="AG14" s="616">
        <f>AF21</f>
        <v>0.95868935417685486</v>
      </c>
    </row>
    <row r="15" spans="1:33" ht="16.5" customHeight="1">
      <c r="A15" s="637" t="s">
        <v>1727</v>
      </c>
      <c r="B15" s="342" t="s">
        <v>1134</v>
      </c>
      <c r="C15" s="659" t="s">
        <v>1036</v>
      </c>
      <c r="D15" s="659"/>
      <c r="E15" s="27">
        <v>38.99</v>
      </c>
      <c r="F15" s="342">
        <v>1249</v>
      </c>
      <c r="G15" s="333">
        <f t="shared" si="15"/>
        <v>48698.51</v>
      </c>
      <c r="H15" s="31" t="s">
        <v>40</v>
      </c>
      <c r="I15" s="340">
        <v>14</v>
      </c>
      <c r="J15" s="29">
        <v>2000</v>
      </c>
      <c r="K15" s="12">
        <f t="shared" si="1"/>
        <v>142.85714285714286</v>
      </c>
      <c r="L15" s="340">
        <v>14</v>
      </c>
      <c r="M15" s="13">
        <f t="shared" si="16"/>
        <v>1921.5384615384605</v>
      </c>
      <c r="N15" s="12">
        <f t="shared" si="3"/>
        <v>137.25274725274718</v>
      </c>
      <c r="O15" s="14">
        <f t="shared" si="4"/>
        <v>0</v>
      </c>
      <c r="P15" s="15">
        <f t="shared" si="5"/>
        <v>-5.6043956043956769</v>
      </c>
      <c r="Q15" s="338">
        <f t="shared" si="6"/>
        <v>0.96076923076923026</v>
      </c>
      <c r="R15" s="616"/>
      <c r="S15" s="32">
        <v>0.18333333333333335</v>
      </c>
      <c r="T15" s="32">
        <v>0.2104166666666667</v>
      </c>
      <c r="U15" s="333">
        <f t="shared" ref="U15:U20" si="18">IF(S15=TIME(17,0,0),"",(S15-T14)*24*60)</f>
        <v>29.000000000000018</v>
      </c>
      <c r="V15" s="341">
        <f t="shared" si="17"/>
        <v>39.000000000000021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-78.461538461539476</v>
      </c>
      <c r="AF15" s="338">
        <f t="shared" si="9"/>
        <v>0.96076923076923026</v>
      </c>
      <c r="AG15" s="616"/>
    </row>
    <row r="16" spans="1:33" ht="16.5" customHeight="1">
      <c r="A16" s="637" t="s">
        <v>1727</v>
      </c>
      <c r="B16" s="342" t="s">
        <v>11</v>
      </c>
      <c r="C16" s="659" t="s">
        <v>67</v>
      </c>
      <c r="D16" s="659"/>
      <c r="E16" s="27">
        <v>38.619999999999997</v>
      </c>
      <c r="F16" s="342">
        <v>1778</v>
      </c>
      <c r="G16" s="333">
        <f t="shared" si="15"/>
        <v>68666.36</v>
      </c>
      <c r="H16" s="31" t="s">
        <v>40</v>
      </c>
      <c r="I16" s="340">
        <v>24</v>
      </c>
      <c r="J16" s="29">
        <v>1500</v>
      </c>
      <c r="K16" s="12">
        <f t="shared" si="1"/>
        <v>62.5</v>
      </c>
      <c r="L16" s="340">
        <v>24</v>
      </c>
      <c r="M16" s="13">
        <f t="shared" si="16"/>
        <v>1441.6216216216221</v>
      </c>
      <c r="N16" s="12">
        <f t="shared" si="3"/>
        <v>60.067567567567586</v>
      </c>
      <c r="O16" s="14">
        <f t="shared" si="4"/>
        <v>0</v>
      </c>
      <c r="P16" s="15">
        <f t="shared" si="5"/>
        <v>-2.4324324324324138</v>
      </c>
      <c r="Q16" s="338">
        <f t="shared" si="6"/>
        <v>0.96108108108108137</v>
      </c>
      <c r="R16" s="616"/>
      <c r="S16" s="32">
        <v>0.21388888888888891</v>
      </c>
      <c r="T16" s="32">
        <v>0.26527777777777778</v>
      </c>
      <c r="U16" s="333">
        <f t="shared" si="18"/>
        <v>4.9999999999999822</v>
      </c>
      <c r="V16" s="341">
        <f t="shared" si="17"/>
        <v>73.999999999999972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-58.378378378377874</v>
      </c>
      <c r="AF16" s="338">
        <f t="shared" si="9"/>
        <v>0.96108108108108137</v>
      </c>
      <c r="AG16" s="616"/>
    </row>
    <row r="17" spans="1:33" ht="16.5" customHeight="1">
      <c r="A17" s="637" t="s">
        <v>1727</v>
      </c>
      <c r="B17" s="342" t="s">
        <v>11</v>
      </c>
      <c r="C17" s="659" t="s">
        <v>12</v>
      </c>
      <c r="D17" s="659"/>
      <c r="E17" s="27">
        <v>41</v>
      </c>
      <c r="F17" s="342">
        <v>1457</v>
      </c>
      <c r="G17" s="333">
        <f t="shared" si="15"/>
        <v>59737</v>
      </c>
      <c r="H17" s="31" t="s">
        <v>40</v>
      </c>
      <c r="I17" s="340">
        <v>26</v>
      </c>
      <c r="J17" s="29">
        <v>1500</v>
      </c>
      <c r="K17" s="12">
        <f t="shared" si="1"/>
        <v>57.692307692307693</v>
      </c>
      <c r="L17" s="340">
        <v>26</v>
      </c>
      <c r="M17" s="13">
        <f t="shared" si="16"/>
        <v>1433.1147540983602</v>
      </c>
      <c r="N17" s="12">
        <f t="shared" si="3"/>
        <v>55.119798234552313</v>
      </c>
      <c r="O17" s="14">
        <f t="shared" si="4"/>
        <v>0</v>
      </c>
      <c r="P17" s="15">
        <f t="shared" si="5"/>
        <v>-2.5725094577553804</v>
      </c>
      <c r="Q17" s="338">
        <f t="shared" si="6"/>
        <v>0.95540983606557339</v>
      </c>
      <c r="R17" s="616"/>
      <c r="S17" s="32">
        <v>0.26944444444444443</v>
      </c>
      <c r="T17" s="32">
        <v>0.31180555555555556</v>
      </c>
      <c r="U17" s="333">
        <f t="shared" si="18"/>
        <v>5.9999999999999787</v>
      </c>
      <c r="V17" s="341">
        <f t="shared" si="17"/>
        <v>61.000000000000021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-66.885245901639792</v>
      </c>
      <c r="AF17" s="338">
        <f t="shared" si="9"/>
        <v>0.9554098360655735</v>
      </c>
      <c r="AG17" s="616"/>
    </row>
    <row r="18" spans="1:33" ht="16.5" customHeight="1">
      <c r="A18" s="637" t="s">
        <v>178</v>
      </c>
      <c r="B18" s="342" t="s">
        <v>5</v>
      </c>
      <c r="C18" s="659" t="s">
        <v>66</v>
      </c>
      <c r="D18" s="659"/>
      <c r="E18" s="27">
        <v>37.03</v>
      </c>
      <c r="F18" s="342">
        <v>2760</v>
      </c>
      <c r="G18" s="333">
        <f t="shared" si="15"/>
        <v>102202.8</v>
      </c>
      <c r="H18" s="31" t="s">
        <v>40</v>
      </c>
      <c r="I18" s="340">
        <v>13</v>
      </c>
      <c r="J18" s="29">
        <v>1500</v>
      </c>
      <c r="K18" s="12">
        <f t="shared" si="1"/>
        <v>115.38461538461539</v>
      </c>
      <c r="L18" s="340">
        <v>13</v>
      </c>
      <c r="M18" s="13">
        <f t="shared" si="16"/>
        <v>1440.0000000000002</v>
      </c>
      <c r="N18" s="12">
        <f t="shared" si="3"/>
        <v>110.76923076923079</v>
      </c>
      <c r="O18" s="14">
        <f t="shared" si="4"/>
        <v>0</v>
      </c>
      <c r="P18" s="15">
        <f t="shared" si="5"/>
        <v>-4.615384615384599</v>
      </c>
      <c r="Q18" s="338">
        <f t="shared" si="6"/>
        <v>0.96000000000000019</v>
      </c>
      <c r="R18" s="616"/>
      <c r="S18" s="32">
        <v>0.31597222222222221</v>
      </c>
      <c r="T18" s="32">
        <v>0.39583333333333331</v>
      </c>
      <c r="U18" s="333">
        <f t="shared" si="18"/>
        <v>5.9999999999999787</v>
      </c>
      <c r="V18" s="341">
        <f t="shared" si="17"/>
        <v>114.99999999999999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-59.999999999999773</v>
      </c>
      <c r="AF18" s="338">
        <f t="shared" si="9"/>
        <v>0.96000000000000019</v>
      </c>
      <c r="AG18" s="616"/>
    </row>
    <row r="19" spans="1:33" ht="16.5" customHeight="1">
      <c r="A19" s="637" t="s">
        <v>1727</v>
      </c>
      <c r="B19" s="342" t="s">
        <v>5</v>
      </c>
      <c r="C19" s="344" t="s">
        <v>6</v>
      </c>
      <c r="D19" s="345"/>
      <c r="E19" s="27">
        <v>50.67</v>
      </c>
      <c r="F19" s="342">
        <v>1608</v>
      </c>
      <c r="G19" s="333">
        <f t="shared" si="15"/>
        <v>81477.36</v>
      </c>
      <c r="H19" s="31" t="s">
        <v>40</v>
      </c>
      <c r="I19" s="340">
        <v>17</v>
      </c>
      <c r="J19" s="29">
        <v>2000</v>
      </c>
      <c r="K19" s="12">
        <f t="shared" si="1"/>
        <v>117.64705882352941</v>
      </c>
      <c r="L19" s="340">
        <v>17</v>
      </c>
      <c r="M19" s="13">
        <f t="shared" si="16"/>
        <v>1929.6000000000006</v>
      </c>
      <c r="N19" s="12">
        <f t="shared" si="3"/>
        <v>113.50588235294121</v>
      </c>
      <c r="O19" s="14">
        <f t="shared" si="4"/>
        <v>0</v>
      </c>
      <c r="P19" s="15">
        <f t="shared" si="5"/>
        <v>-4.1411764705881922</v>
      </c>
      <c r="Q19" s="338">
        <f t="shared" si="6"/>
        <v>0.96480000000000032</v>
      </c>
      <c r="R19" s="616"/>
      <c r="S19" s="32">
        <v>0.70833333333333337</v>
      </c>
      <c r="T19" s="32">
        <v>0.74305555555555558</v>
      </c>
      <c r="U19" s="333" t="str">
        <f t="shared" si="18"/>
        <v/>
      </c>
      <c r="V19" s="341">
        <f t="shared" si="17"/>
        <v>49.999999999999986</v>
      </c>
      <c r="W19" s="16"/>
      <c r="X19" s="16"/>
      <c r="Y19" s="19"/>
      <c r="Z19" s="19"/>
      <c r="AA19" s="336"/>
      <c r="AB19" s="337"/>
      <c r="AC19" s="18"/>
      <c r="AD19" s="18"/>
      <c r="AE19" s="14">
        <f t="shared" si="8"/>
        <v>-70.399999999999409</v>
      </c>
      <c r="AF19" s="338">
        <f t="shared" si="9"/>
        <v>0.96480000000000032</v>
      </c>
      <c r="AG19" s="616"/>
    </row>
    <row r="20" spans="1:33" ht="16.5" customHeight="1">
      <c r="A20" s="637" t="s">
        <v>1727</v>
      </c>
      <c r="B20" s="342" t="s">
        <v>5</v>
      </c>
      <c r="C20" s="344" t="s">
        <v>615</v>
      </c>
      <c r="D20" s="345"/>
      <c r="E20" s="27">
        <v>54.5</v>
      </c>
      <c r="F20" s="342">
        <v>2892</v>
      </c>
      <c r="G20" s="333">
        <f t="shared" si="15"/>
        <v>157614</v>
      </c>
      <c r="H20" s="31" t="s">
        <v>40</v>
      </c>
      <c r="I20" s="340">
        <v>20</v>
      </c>
      <c r="J20" s="29">
        <v>1500</v>
      </c>
      <c r="K20" s="12">
        <f t="shared" si="1"/>
        <v>75</v>
      </c>
      <c r="L20" s="340">
        <v>20</v>
      </c>
      <c r="M20" s="13">
        <f t="shared" si="16"/>
        <v>1434.0495867768589</v>
      </c>
      <c r="N20" s="12">
        <f t="shared" si="3"/>
        <v>71.702479338842949</v>
      </c>
      <c r="O20" s="14">
        <f t="shared" si="4"/>
        <v>0</v>
      </c>
      <c r="P20" s="15">
        <f t="shared" si="5"/>
        <v>-3.2975206611570513</v>
      </c>
      <c r="Q20" s="338">
        <f t="shared" si="6"/>
        <v>0.95603305785123927</v>
      </c>
      <c r="R20" s="616"/>
      <c r="S20" s="32">
        <v>0.74722222222222223</v>
      </c>
      <c r="T20" s="32">
        <v>0.83125000000000004</v>
      </c>
      <c r="U20" s="333">
        <f t="shared" si="18"/>
        <v>5.9999999999999787</v>
      </c>
      <c r="V20" s="341">
        <f t="shared" si="17"/>
        <v>121.00000000000006</v>
      </c>
      <c r="W20" s="16"/>
      <c r="X20" s="16"/>
      <c r="Y20" s="19"/>
      <c r="Z20" s="19"/>
      <c r="AA20" s="336"/>
      <c r="AB20" s="337"/>
      <c r="AC20" s="18"/>
      <c r="AD20" s="18"/>
      <c r="AE20" s="14">
        <f t="shared" si="8"/>
        <v>-65.95041322314114</v>
      </c>
      <c r="AF20" s="338">
        <f t="shared" si="9"/>
        <v>0.95603305785123927</v>
      </c>
      <c r="AG20" s="616"/>
    </row>
    <row r="21" spans="1:33" ht="16.5" customHeight="1">
      <c r="A21" s="637" t="s">
        <v>178</v>
      </c>
      <c r="B21" s="27" t="s">
        <v>1725</v>
      </c>
      <c r="C21" s="658"/>
      <c r="D21" s="658"/>
      <c r="E21" s="339"/>
      <c r="F21" s="28"/>
      <c r="G21" s="12"/>
      <c r="H21" s="342"/>
      <c r="I21" s="21">
        <v>18.285714285714285</v>
      </c>
      <c r="J21" s="29">
        <v>1714.2857142857142</v>
      </c>
      <c r="K21" s="12">
        <f t="shared" si="1"/>
        <v>93.75</v>
      </c>
      <c r="L21" s="21">
        <v>18.285714285714285</v>
      </c>
      <c r="M21" s="13">
        <f>AVERAGE(M14:M20)</f>
        <v>1643.4674643031797</v>
      </c>
      <c r="N21" s="12">
        <f t="shared" si="3"/>
        <v>89.87712695408014</v>
      </c>
      <c r="O21" s="14">
        <f t="shared" si="4"/>
        <v>0</v>
      </c>
      <c r="P21" s="15">
        <f t="shared" si="5"/>
        <v>-3.8728730459198601</v>
      </c>
      <c r="Q21" s="338">
        <f t="shared" si="6"/>
        <v>0.95868935417685486</v>
      </c>
      <c r="R21" s="616"/>
      <c r="S21" s="32"/>
      <c r="T21" s="32"/>
      <c r="U21" s="333"/>
      <c r="V21" s="341"/>
      <c r="W21" s="12"/>
      <c r="X21" s="12"/>
      <c r="Y21" s="22">
        <f>SUM(Y14:Y20)</f>
        <v>0</v>
      </c>
      <c r="Z21" s="22">
        <f>SUM(Z14:Z20)</f>
        <v>0</v>
      </c>
      <c r="AA21" s="611"/>
      <c r="AB21" s="611"/>
      <c r="AC21" s="22">
        <v>7</v>
      </c>
      <c r="AD21" s="22">
        <f>SUM(AD14:AD20)</f>
        <v>0</v>
      </c>
      <c r="AE21" s="14">
        <f t="shared" si="8"/>
        <v>-70.818249982534553</v>
      </c>
      <c r="AF21" s="338">
        <f t="shared" si="9"/>
        <v>0.95868935417685486</v>
      </c>
      <c r="AG21" s="616"/>
    </row>
    <row r="22" spans="1:33" ht="15.75" customHeight="1">
      <c r="A22" s="634" t="s">
        <v>1728</v>
      </c>
      <c r="B22" s="27" t="s">
        <v>5</v>
      </c>
      <c r="C22" s="659" t="s">
        <v>16</v>
      </c>
      <c r="D22" s="659"/>
      <c r="E22" s="27">
        <v>50.67</v>
      </c>
      <c r="F22" s="342">
        <v>1537</v>
      </c>
      <c r="G22" s="333">
        <f t="shared" ref="G22:G27" si="19">E22*F22</f>
        <v>77879.790000000008</v>
      </c>
      <c r="H22" s="31" t="s">
        <v>40</v>
      </c>
      <c r="I22" s="340">
        <v>17</v>
      </c>
      <c r="J22" s="29">
        <v>2000</v>
      </c>
      <c r="K22" s="12">
        <f t="shared" si="1"/>
        <v>117.64705882352941</v>
      </c>
      <c r="L22" s="340">
        <v>17</v>
      </c>
      <c r="M22" s="13">
        <f t="shared" ref="M22:M27" si="20">F22/V22*60</f>
        <v>1921.2500000000005</v>
      </c>
      <c r="N22" s="12">
        <f t="shared" si="3"/>
        <v>113.01470588235297</v>
      </c>
      <c r="O22" s="14">
        <f t="shared" si="4"/>
        <v>0</v>
      </c>
      <c r="P22" s="15">
        <f t="shared" si="5"/>
        <v>-4.6323529411764355</v>
      </c>
      <c r="Q22" s="338">
        <f t="shared" si="6"/>
        <v>0.96062500000000028</v>
      </c>
      <c r="R22" s="616">
        <f>Q28</f>
        <v>0.96215295096202624</v>
      </c>
      <c r="S22" s="32">
        <v>0.20833333333333334</v>
      </c>
      <c r="T22" s="32">
        <v>0.24166666666666667</v>
      </c>
      <c r="U22" s="333"/>
      <c r="V22" s="341">
        <f t="shared" ref="V22:V27" si="21">(T22-S22)*24*60</f>
        <v>47.999999999999986</v>
      </c>
      <c r="W22" s="16"/>
      <c r="X22" s="16"/>
      <c r="Y22" s="20"/>
      <c r="Z22" s="20"/>
      <c r="AA22" s="612"/>
      <c r="AB22" s="612"/>
      <c r="AC22" s="18">
        <v>6</v>
      </c>
      <c r="AD22" s="18"/>
      <c r="AE22" s="14">
        <f t="shared" si="8"/>
        <v>-78.749999999999545</v>
      </c>
      <c r="AF22" s="338">
        <f t="shared" si="9"/>
        <v>0.96062500000000017</v>
      </c>
      <c r="AG22" s="616">
        <f>AF28</f>
        <v>0.96215295096202624</v>
      </c>
    </row>
    <row r="23" spans="1:33" ht="15.75" customHeight="1">
      <c r="A23" s="635" t="s">
        <v>1728</v>
      </c>
      <c r="B23" s="27" t="s">
        <v>5</v>
      </c>
      <c r="C23" s="659" t="s">
        <v>17</v>
      </c>
      <c r="D23" s="659"/>
      <c r="E23" s="27">
        <v>57.73</v>
      </c>
      <c r="F23" s="342">
        <v>2339</v>
      </c>
      <c r="G23" s="333">
        <f t="shared" si="19"/>
        <v>135030.47</v>
      </c>
      <c r="H23" s="31" t="s">
        <v>40</v>
      </c>
      <c r="I23" s="340">
        <v>14</v>
      </c>
      <c r="J23" s="29">
        <v>2000</v>
      </c>
      <c r="K23" s="12">
        <f t="shared" si="1"/>
        <v>142.85714285714286</v>
      </c>
      <c r="L23" s="340">
        <v>14</v>
      </c>
      <c r="M23" s="13">
        <f t="shared" si="20"/>
        <v>1922.4657534246578</v>
      </c>
      <c r="N23" s="12">
        <f t="shared" si="3"/>
        <v>137.31898238747556</v>
      </c>
      <c r="O23" s="14">
        <f t="shared" si="4"/>
        <v>0</v>
      </c>
      <c r="P23" s="15">
        <f t="shared" si="5"/>
        <v>-5.5381604696673037</v>
      </c>
      <c r="Q23" s="338">
        <f t="shared" si="6"/>
        <v>0.96123287671232882</v>
      </c>
      <c r="R23" s="616"/>
      <c r="S23" s="32">
        <v>0.24652777777777779</v>
      </c>
      <c r="T23" s="32">
        <v>0.29722222222222222</v>
      </c>
      <c r="U23" s="333">
        <f t="shared" ref="U23:U27" si="22">IF(S23=TIME(17,0,0),"",(S23-T22)*24*60)</f>
        <v>7.0000000000000151</v>
      </c>
      <c r="V23" s="341">
        <f t="shared" si="21"/>
        <v>72.999999999999986</v>
      </c>
      <c r="W23" s="16"/>
      <c r="X23" s="333"/>
      <c r="Y23" s="333"/>
      <c r="Z23" s="333"/>
      <c r="AA23" s="612"/>
      <c r="AB23" s="612"/>
      <c r="AC23" s="18"/>
      <c r="AD23" s="18"/>
      <c r="AE23" s="14">
        <f t="shared" si="8"/>
        <v>-77.534246575342195</v>
      </c>
      <c r="AF23" s="338">
        <f t="shared" si="9"/>
        <v>0.96123287671232893</v>
      </c>
      <c r="AG23" s="616"/>
    </row>
    <row r="24" spans="1:33" ht="15.75" customHeight="1">
      <c r="A24" s="635" t="s">
        <v>1728</v>
      </c>
      <c r="B24" s="27" t="s">
        <v>5</v>
      </c>
      <c r="C24" s="659" t="s">
        <v>60</v>
      </c>
      <c r="D24" s="659"/>
      <c r="E24" s="27">
        <v>53.27</v>
      </c>
      <c r="F24" s="342">
        <v>1254</v>
      </c>
      <c r="G24" s="333">
        <f t="shared" si="19"/>
        <v>66800.58</v>
      </c>
      <c r="H24" s="31" t="s">
        <v>40</v>
      </c>
      <c r="I24" s="340">
        <v>16</v>
      </c>
      <c r="J24" s="29">
        <v>2000</v>
      </c>
      <c r="K24" s="12">
        <f t="shared" si="1"/>
        <v>125</v>
      </c>
      <c r="L24" s="340">
        <v>16</v>
      </c>
      <c r="M24" s="13">
        <f t="shared" si="20"/>
        <v>1929.2307692307684</v>
      </c>
      <c r="N24" s="12">
        <f t="shared" si="3"/>
        <v>120.57692307692302</v>
      </c>
      <c r="O24" s="14">
        <f t="shared" si="4"/>
        <v>0</v>
      </c>
      <c r="P24" s="15">
        <f t="shared" si="5"/>
        <v>-4.4230769230769766</v>
      </c>
      <c r="Q24" s="338">
        <f t="shared" si="6"/>
        <v>0.96461538461538421</v>
      </c>
      <c r="R24" s="616"/>
      <c r="S24" s="32">
        <v>0.30138888888888887</v>
      </c>
      <c r="T24" s="32">
        <v>0.32847222222222222</v>
      </c>
      <c r="U24" s="333">
        <f t="shared" si="22"/>
        <v>5.9999999999999787</v>
      </c>
      <c r="V24" s="341">
        <f t="shared" si="21"/>
        <v>39.000000000000021</v>
      </c>
      <c r="W24" s="16"/>
      <c r="X24" s="333"/>
      <c r="Y24" s="333"/>
      <c r="Z24" s="333"/>
      <c r="AA24" s="612"/>
      <c r="AB24" s="612"/>
      <c r="AC24" s="18"/>
      <c r="AD24" s="18"/>
      <c r="AE24" s="14">
        <f t="shared" si="8"/>
        <v>-70.769230769231626</v>
      </c>
      <c r="AF24" s="338">
        <f t="shared" si="9"/>
        <v>0.96461538461538421</v>
      </c>
      <c r="AG24" s="616"/>
    </row>
    <row r="25" spans="1:33" ht="15.75" customHeight="1">
      <c r="A25" s="635" t="s">
        <v>1728</v>
      </c>
      <c r="B25" s="27" t="s">
        <v>5</v>
      </c>
      <c r="C25" s="659" t="s">
        <v>18</v>
      </c>
      <c r="D25" s="659"/>
      <c r="E25" s="27">
        <v>50.49</v>
      </c>
      <c r="F25" s="342">
        <v>1728</v>
      </c>
      <c r="G25" s="333">
        <f t="shared" si="19"/>
        <v>87246.720000000001</v>
      </c>
      <c r="H25" s="31" t="s">
        <v>40</v>
      </c>
      <c r="I25" s="340">
        <v>15</v>
      </c>
      <c r="J25" s="29">
        <v>2000</v>
      </c>
      <c r="K25" s="12">
        <f t="shared" si="1"/>
        <v>133.33333333333334</v>
      </c>
      <c r="L25" s="340">
        <v>15</v>
      </c>
      <c r="M25" s="13">
        <f t="shared" si="20"/>
        <v>1920.0000000000009</v>
      </c>
      <c r="N25" s="12">
        <f t="shared" si="3"/>
        <v>128.00000000000006</v>
      </c>
      <c r="O25" s="14">
        <f t="shared" si="4"/>
        <v>0</v>
      </c>
      <c r="P25" s="15">
        <f t="shared" si="5"/>
        <v>-5.333333333333286</v>
      </c>
      <c r="Q25" s="338">
        <f t="shared" si="6"/>
        <v>0.96000000000000041</v>
      </c>
      <c r="R25" s="616"/>
      <c r="S25" s="32">
        <v>0.70833333333333337</v>
      </c>
      <c r="T25" s="32">
        <v>0.74583333333333335</v>
      </c>
      <c r="U25" s="333" t="str">
        <f t="shared" si="22"/>
        <v/>
      </c>
      <c r="V25" s="341">
        <f t="shared" si="21"/>
        <v>53.999999999999972</v>
      </c>
      <c r="W25" s="16"/>
      <c r="X25" s="333"/>
      <c r="Y25" s="333"/>
      <c r="Z25" s="333"/>
      <c r="AA25" s="612"/>
      <c r="AB25" s="612"/>
      <c r="AC25" s="18"/>
      <c r="AD25" s="18"/>
      <c r="AE25" s="14">
        <f t="shared" si="8"/>
        <v>-79.999999999999091</v>
      </c>
      <c r="AF25" s="338">
        <f t="shared" si="9"/>
        <v>0.96000000000000041</v>
      </c>
      <c r="AG25" s="616"/>
    </row>
    <row r="26" spans="1:33" ht="15.75" customHeight="1">
      <c r="A26" s="635" t="s">
        <v>1728</v>
      </c>
      <c r="B26" s="27" t="s">
        <v>5</v>
      </c>
      <c r="C26" s="659" t="s">
        <v>65</v>
      </c>
      <c r="D26" s="659"/>
      <c r="E26" s="27">
        <v>56.43</v>
      </c>
      <c r="F26" s="342">
        <v>1448</v>
      </c>
      <c r="G26" s="333">
        <f t="shared" si="19"/>
        <v>81710.64</v>
      </c>
      <c r="H26" s="31" t="s">
        <v>40</v>
      </c>
      <c r="I26" s="340">
        <v>13</v>
      </c>
      <c r="J26" s="29">
        <v>2000</v>
      </c>
      <c r="K26" s="12">
        <f t="shared" si="1"/>
        <v>153.84615384615384</v>
      </c>
      <c r="L26" s="340">
        <v>13</v>
      </c>
      <c r="M26" s="13">
        <f t="shared" si="20"/>
        <v>1930.6666666666665</v>
      </c>
      <c r="N26" s="12">
        <f t="shared" si="3"/>
        <v>148.5128205128205</v>
      </c>
      <c r="O26" s="14">
        <f t="shared" si="4"/>
        <v>0</v>
      </c>
      <c r="P26" s="15">
        <f t="shared" si="5"/>
        <v>-5.3333333333333428</v>
      </c>
      <c r="Q26" s="338">
        <f t="shared" si="6"/>
        <v>0.96533333333333327</v>
      </c>
      <c r="R26" s="616"/>
      <c r="S26" s="32">
        <v>0.75138888888888888</v>
      </c>
      <c r="T26" s="32">
        <v>0.78263888888888888</v>
      </c>
      <c r="U26" s="333">
        <f t="shared" si="22"/>
        <v>7.9999999999999716</v>
      </c>
      <c r="V26" s="341">
        <f t="shared" si="21"/>
        <v>45</v>
      </c>
      <c r="W26" s="16"/>
      <c r="X26" s="16"/>
      <c r="Y26" s="333"/>
      <c r="Z26" s="333"/>
      <c r="AA26" s="612"/>
      <c r="AB26" s="612"/>
      <c r="AC26" s="18"/>
      <c r="AD26" s="18"/>
      <c r="AE26" s="14">
        <f t="shared" si="8"/>
        <v>-69.333333333333485</v>
      </c>
      <c r="AF26" s="338">
        <f t="shared" si="9"/>
        <v>0.96533333333333327</v>
      </c>
      <c r="AG26" s="616"/>
    </row>
    <row r="27" spans="1:33" ht="15.75" customHeight="1">
      <c r="A27" s="635" t="s">
        <v>1728</v>
      </c>
      <c r="B27" s="27" t="s">
        <v>5</v>
      </c>
      <c r="C27" s="659" t="s">
        <v>1322</v>
      </c>
      <c r="D27" s="659"/>
      <c r="E27" s="27">
        <v>54.09</v>
      </c>
      <c r="F27" s="342">
        <v>2595</v>
      </c>
      <c r="G27" s="333">
        <f t="shared" si="19"/>
        <v>140363.55000000002</v>
      </c>
      <c r="H27" s="31" t="s">
        <v>40</v>
      </c>
      <c r="I27" s="340">
        <v>18</v>
      </c>
      <c r="J27" s="29">
        <v>2000</v>
      </c>
      <c r="K27" s="12">
        <f t="shared" si="1"/>
        <v>111.11111111111111</v>
      </c>
      <c r="L27" s="340">
        <v>18</v>
      </c>
      <c r="M27" s="13">
        <f t="shared" si="20"/>
        <v>1922.2222222222215</v>
      </c>
      <c r="N27" s="12">
        <f t="shared" si="3"/>
        <v>106.79012345679008</v>
      </c>
      <c r="O27" s="14">
        <f t="shared" si="4"/>
        <v>0</v>
      </c>
      <c r="P27" s="15">
        <f t="shared" si="5"/>
        <v>-4.3209876543210299</v>
      </c>
      <c r="Q27" s="338">
        <f t="shared" si="6"/>
        <v>0.96111111111111069</v>
      </c>
      <c r="R27" s="616"/>
      <c r="S27" s="32">
        <v>0.78819444444444442</v>
      </c>
      <c r="T27" s="32">
        <v>0.84444444444444444</v>
      </c>
      <c r="U27" s="333">
        <f t="shared" si="22"/>
        <v>7.9999999999999716</v>
      </c>
      <c r="V27" s="341">
        <f t="shared" si="21"/>
        <v>81.000000000000028</v>
      </c>
      <c r="W27" s="16"/>
      <c r="X27" s="20"/>
      <c r="Y27" s="20"/>
      <c r="Z27" s="20"/>
      <c r="AA27" s="612"/>
      <c r="AB27" s="612"/>
      <c r="AC27" s="18"/>
      <c r="AD27" s="18"/>
      <c r="AE27" s="14">
        <f t="shared" si="8"/>
        <v>-77.77777777777851</v>
      </c>
      <c r="AF27" s="338">
        <f t="shared" si="9"/>
        <v>0.96111111111111069</v>
      </c>
      <c r="AG27" s="616"/>
    </row>
    <row r="28" spans="1:33" ht="15.75" customHeight="1">
      <c r="A28" s="635" t="s">
        <v>1728</v>
      </c>
      <c r="B28" s="27" t="s">
        <v>1729</v>
      </c>
      <c r="C28" s="658"/>
      <c r="D28" s="658"/>
      <c r="E28" s="339"/>
      <c r="F28" s="342"/>
      <c r="G28" s="333"/>
      <c r="H28" s="342"/>
      <c r="I28" s="21">
        <v>15.5</v>
      </c>
      <c r="J28" s="29">
        <v>2000</v>
      </c>
      <c r="K28" s="12">
        <f t="shared" si="1"/>
        <v>129.03225806451613</v>
      </c>
      <c r="L28" s="21">
        <v>15.5</v>
      </c>
      <c r="M28" s="13">
        <f>AVERAGE(M22:M27)</f>
        <v>1924.3059019240525</v>
      </c>
      <c r="N28" s="12">
        <f t="shared" si="3"/>
        <v>124.1487678660679</v>
      </c>
      <c r="O28" s="14">
        <f t="shared" si="4"/>
        <v>0</v>
      </c>
      <c r="P28" s="15">
        <f t="shared" si="5"/>
        <v>-4.8834901984482286</v>
      </c>
      <c r="Q28" s="338">
        <f t="shared" si="6"/>
        <v>0.96215295096202624</v>
      </c>
      <c r="R28" s="616"/>
      <c r="S28" s="32"/>
      <c r="T28" s="32"/>
      <c r="U28" s="12"/>
      <c r="V28" s="341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-75.694098075947522</v>
      </c>
      <c r="AF28" s="338">
        <f t="shared" si="9"/>
        <v>0.96215295096202624</v>
      </c>
      <c r="AG28" s="616"/>
    </row>
    <row r="29" spans="1:33" ht="15.75" customHeight="1">
      <c r="A29" s="633" t="s">
        <v>1730</v>
      </c>
      <c r="B29" s="27" t="s">
        <v>20</v>
      </c>
      <c r="C29" s="659" t="s">
        <v>21</v>
      </c>
      <c r="D29" s="659"/>
      <c r="E29" s="27">
        <v>31.29</v>
      </c>
      <c r="F29" s="342">
        <v>7692</v>
      </c>
      <c r="G29" s="333">
        <f t="shared" ref="G29:G34" si="23">E29*F29</f>
        <v>240682.68</v>
      </c>
      <c r="H29" s="31" t="s">
        <v>40</v>
      </c>
      <c r="I29" s="340">
        <v>18</v>
      </c>
      <c r="J29" s="29">
        <v>2400</v>
      </c>
      <c r="K29" s="12">
        <f t="shared" si="1"/>
        <v>133.33333333333334</v>
      </c>
      <c r="L29" s="340">
        <v>18</v>
      </c>
      <c r="M29" s="13">
        <f t="shared" ref="M29:M34" si="24">F29/V29*60</f>
        <v>2284.7524752475247</v>
      </c>
      <c r="N29" s="12">
        <f t="shared" si="3"/>
        <v>126.93069306930693</v>
      </c>
      <c r="O29" s="14">
        <f t="shared" si="4"/>
        <v>0</v>
      </c>
      <c r="P29" s="15">
        <f t="shared" si="5"/>
        <v>-6.4026402640264166</v>
      </c>
      <c r="Q29" s="338">
        <f t="shared" si="6"/>
        <v>0.95198019801980183</v>
      </c>
      <c r="R29" s="616">
        <f>Q35</f>
        <v>0.96125175180020728</v>
      </c>
      <c r="S29" s="32">
        <v>8.3333333333333329E-2</v>
      </c>
      <c r="T29" s="32">
        <v>0.22361111111111109</v>
      </c>
      <c r="U29" s="333"/>
      <c r="V29" s="341">
        <f t="shared" ref="V29:V34" si="25">(T29-S29)*24*60</f>
        <v>202</v>
      </c>
      <c r="W29" s="16">
        <f>T29</f>
        <v>0.22361111111111109</v>
      </c>
      <c r="X29" s="16">
        <f>S30</f>
        <v>0.24305555555555552</v>
      </c>
      <c r="Y29" s="16"/>
      <c r="Z29" s="16"/>
      <c r="AA29" s="612"/>
      <c r="AB29" s="612"/>
      <c r="AC29" s="18">
        <v>6</v>
      </c>
      <c r="AD29" s="18"/>
      <c r="AE29" s="14">
        <f t="shared" si="8"/>
        <v>-115.24752475247533</v>
      </c>
      <c r="AF29" s="338">
        <f t="shared" si="9"/>
        <v>0.95198019801980194</v>
      </c>
      <c r="AG29" s="616">
        <f>AF35</f>
        <v>0.96125175180020728</v>
      </c>
    </row>
    <row r="30" spans="1:33" ht="15.75" customHeight="1">
      <c r="A30" s="633" t="s">
        <v>1730</v>
      </c>
      <c r="B30" s="27" t="s">
        <v>20</v>
      </c>
      <c r="C30" s="659" t="s">
        <v>22</v>
      </c>
      <c r="D30" s="659"/>
      <c r="E30" s="27">
        <v>26.37</v>
      </c>
      <c r="F30" s="342">
        <v>5397</v>
      </c>
      <c r="G30" s="333">
        <f t="shared" si="23"/>
        <v>142318.89000000001</v>
      </c>
      <c r="H30" s="31" t="s">
        <v>40</v>
      </c>
      <c r="I30" s="340">
        <v>18</v>
      </c>
      <c r="J30" s="29">
        <v>2400</v>
      </c>
      <c r="K30" s="12">
        <f t="shared" si="1"/>
        <v>133.33333333333334</v>
      </c>
      <c r="L30" s="340">
        <v>18</v>
      </c>
      <c r="M30" s="13">
        <f t="shared" si="24"/>
        <v>2296.5957446808516</v>
      </c>
      <c r="N30" s="12">
        <f t="shared" si="3"/>
        <v>127.58865248226954</v>
      </c>
      <c r="O30" s="14">
        <f t="shared" si="4"/>
        <v>0</v>
      </c>
      <c r="P30" s="15">
        <f t="shared" si="5"/>
        <v>-5.744680851063805</v>
      </c>
      <c r="Q30" s="338">
        <f t="shared" si="6"/>
        <v>0.95691489361702142</v>
      </c>
      <c r="R30" s="616"/>
      <c r="S30" s="32">
        <v>0.24305555555555552</v>
      </c>
      <c r="T30" s="32">
        <v>0.34097222222222218</v>
      </c>
      <c r="U30" s="333">
        <f t="shared" ref="U30:U34" si="26">(S30-T29)*24*60</f>
        <v>27.999999999999979</v>
      </c>
      <c r="V30" s="341">
        <f t="shared" si="25"/>
        <v>140.99999999999997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-103.40425531914843</v>
      </c>
      <c r="AF30" s="338">
        <f t="shared" si="9"/>
        <v>0.95691489361702153</v>
      </c>
      <c r="AG30" s="616"/>
    </row>
    <row r="31" spans="1:33" ht="15.75" customHeight="1">
      <c r="A31" s="633" t="s">
        <v>1730</v>
      </c>
      <c r="B31" s="27" t="s">
        <v>20</v>
      </c>
      <c r="C31" s="659" t="s">
        <v>57</v>
      </c>
      <c r="D31" s="659"/>
      <c r="E31" s="27">
        <v>26.18</v>
      </c>
      <c r="F31" s="342">
        <v>3800</v>
      </c>
      <c r="G31" s="333">
        <f t="shared" si="23"/>
        <v>99484</v>
      </c>
      <c r="H31" s="31">
        <v>2</v>
      </c>
      <c r="I31" s="340">
        <v>18</v>
      </c>
      <c r="J31" s="29">
        <v>2400</v>
      </c>
      <c r="K31" s="12">
        <f t="shared" si="1"/>
        <v>133.33333333333334</v>
      </c>
      <c r="L31" s="340">
        <v>18</v>
      </c>
      <c r="M31" s="13">
        <f t="shared" si="24"/>
        <v>2303.0303030303039</v>
      </c>
      <c r="N31" s="12">
        <f t="shared" si="3"/>
        <v>127.946127946128</v>
      </c>
      <c r="O31" s="14">
        <f t="shared" si="4"/>
        <v>0</v>
      </c>
      <c r="P31" s="15">
        <f t="shared" si="5"/>
        <v>-5.3872053872053414</v>
      </c>
      <c r="Q31" s="338">
        <f t="shared" si="6"/>
        <v>0.95959595959595989</v>
      </c>
      <c r="R31" s="616"/>
      <c r="S31" s="32">
        <v>0.34444444444444439</v>
      </c>
      <c r="T31" s="32">
        <v>0.41319444444444436</v>
      </c>
      <c r="U31" s="333">
        <f t="shared" si="26"/>
        <v>4.9999999999999822</v>
      </c>
      <c r="V31" s="341">
        <f t="shared" si="25"/>
        <v>98.999999999999972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-96.969696969696088</v>
      </c>
      <c r="AF31" s="338">
        <f t="shared" si="9"/>
        <v>0.95959595959596</v>
      </c>
      <c r="AG31" s="616"/>
    </row>
    <row r="32" spans="1:33" ht="15.75" customHeight="1">
      <c r="A32" s="633" t="s">
        <v>1730</v>
      </c>
      <c r="B32" s="27" t="s">
        <v>20</v>
      </c>
      <c r="C32" s="659" t="s">
        <v>59</v>
      </c>
      <c r="D32" s="659"/>
      <c r="E32" s="27">
        <v>25.99</v>
      </c>
      <c r="F32" s="342">
        <v>1065</v>
      </c>
      <c r="G32" s="333">
        <f t="shared" si="23"/>
        <v>27679.35</v>
      </c>
      <c r="H32" s="31" t="s">
        <v>40</v>
      </c>
      <c r="I32" s="340">
        <v>18</v>
      </c>
      <c r="J32" s="29">
        <v>2400</v>
      </c>
      <c r="K32" s="12">
        <f t="shared" si="1"/>
        <v>133.33333333333334</v>
      </c>
      <c r="L32" s="340">
        <v>18</v>
      </c>
      <c r="M32" s="13">
        <f t="shared" si="24"/>
        <v>2366.6666666666679</v>
      </c>
      <c r="N32" s="12">
        <f t="shared" si="3"/>
        <v>131.48148148148155</v>
      </c>
      <c r="O32" s="14">
        <f t="shared" si="4"/>
        <v>0</v>
      </c>
      <c r="P32" s="15">
        <f t="shared" si="5"/>
        <v>-1.8518518518517908</v>
      </c>
      <c r="Q32" s="338">
        <f t="shared" si="6"/>
        <v>0.9861111111111116</v>
      </c>
      <c r="R32" s="616"/>
      <c r="S32" s="32">
        <v>0.41736111111111102</v>
      </c>
      <c r="T32" s="32">
        <v>0.43611111111111101</v>
      </c>
      <c r="U32" s="333">
        <f t="shared" si="26"/>
        <v>5.9999999999999787</v>
      </c>
      <c r="V32" s="341">
        <f t="shared" si="25"/>
        <v>26.999999999999986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-33.333333333332121</v>
      </c>
      <c r="AF32" s="338">
        <f t="shared" si="9"/>
        <v>0.9861111111111116</v>
      </c>
      <c r="AG32" s="616"/>
    </row>
    <row r="33" spans="1:33" ht="15.75" customHeight="1">
      <c r="A33" s="633" t="s">
        <v>1730</v>
      </c>
      <c r="B33" s="27" t="s">
        <v>20</v>
      </c>
      <c r="C33" s="659" t="s">
        <v>23</v>
      </c>
      <c r="D33" s="659"/>
      <c r="E33" s="27">
        <v>25.99</v>
      </c>
      <c r="F33" s="342">
        <v>3312</v>
      </c>
      <c r="G33" s="333">
        <f t="shared" si="23"/>
        <v>86078.87999999999</v>
      </c>
      <c r="H33" s="31" t="s">
        <v>40</v>
      </c>
      <c r="I33" s="340">
        <v>14</v>
      </c>
      <c r="J33" s="29">
        <v>2400</v>
      </c>
      <c r="K33" s="12">
        <f t="shared" si="1"/>
        <v>171.42857142857142</v>
      </c>
      <c r="L33" s="340">
        <v>14</v>
      </c>
      <c r="M33" s="13">
        <f t="shared" si="24"/>
        <v>2284.1379310344823</v>
      </c>
      <c r="N33" s="12">
        <f t="shared" si="3"/>
        <v>163.15270935960589</v>
      </c>
      <c r="O33" s="14">
        <f t="shared" si="4"/>
        <v>0</v>
      </c>
      <c r="P33" s="15">
        <f t="shared" si="5"/>
        <v>-8.2758620689655231</v>
      </c>
      <c r="Q33" s="338">
        <f t="shared" si="6"/>
        <v>0.9517241379310345</v>
      </c>
      <c r="R33" s="616"/>
      <c r="S33" s="32">
        <v>0.43958333333333321</v>
      </c>
      <c r="T33" s="32">
        <v>0.49999999999999989</v>
      </c>
      <c r="U33" s="333">
        <f t="shared" si="26"/>
        <v>4.9999999999999822</v>
      </c>
      <c r="V33" s="341">
        <f t="shared" si="25"/>
        <v>87.000000000000014</v>
      </c>
      <c r="W33" s="16">
        <f>T33</f>
        <v>0.49999999999999989</v>
      </c>
      <c r="X33" s="16">
        <f>S34</f>
        <v>0.53819444444444431</v>
      </c>
      <c r="Y33" s="16"/>
      <c r="Z33" s="16"/>
      <c r="AA33" s="612"/>
      <c r="AB33" s="612"/>
      <c r="AC33" s="18"/>
      <c r="AD33" s="18"/>
      <c r="AE33" s="14">
        <f t="shared" si="8"/>
        <v>-115.86206896551766</v>
      </c>
      <c r="AF33" s="338">
        <f t="shared" si="9"/>
        <v>0.95172413793103428</v>
      </c>
      <c r="AG33" s="616"/>
    </row>
    <row r="34" spans="1:33" ht="15.75" customHeight="1">
      <c r="A34" s="633" t="s">
        <v>1730</v>
      </c>
      <c r="B34" s="27" t="s">
        <v>20</v>
      </c>
      <c r="C34" s="659" t="s">
        <v>57</v>
      </c>
      <c r="D34" s="659"/>
      <c r="E34" s="27">
        <v>26.18</v>
      </c>
      <c r="F34" s="342">
        <v>2922</v>
      </c>
      <c r="G34" s="333">
        <f t="shared" si="23"/>
        <v>76497.960000000006</v>
      </c>
      <c r="H34" s="31" t="s">
        <v>40</v>
      </c>
      <c r="I34" s="340">
        <v>18</v>
      </c>
      <c r="J34" s="29">
        <v>2400</v>
      </c>
      <c r="K34" s="12">
        <f t="shared" si="1"/>
        <v>133.33333333333334</v>
      </c>
      <c r="L34" s="340">
        <v>18</v>
      </c>
      <c r="M34" s="13">
        <f t="shared" si="24"/>
        <v>2306.8421052631561</v>
      </c>
      <c r="N34" s="12">
        <f t="shared" si="3"/>
        <v>128.157894736842</v>
      </c>
      <c r="O34" s="14">
        <f t="shared" si="4"/>
        <v>0</v>
      </c>
      <c r="P34" s="15">
        <f t="shared" si="5"/>
        <v>-5.1754385964913467</v>
      </c>
      <c r="Q34" s="338">
        <f t="shared" si="6"/>
        <v>0.96118421052631486</v>
      </c>
      <c r="R34" s="616"/>
      <c r="S34" s="32">
        <v>0.53819444444444431</v>
      </c>
      <c r="T34" s="32">
        <v>0.59097222222222212</v>
      </c>
      <c r="U34" s="333">
        <f t="shared" si="26"/>
        <v>54.999999999999964</v>
      </c>
      <c r="V34" s="341">
        <f t="shared" si="25"/>
        <v>76.000000000000057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-93.1578947368439</v>
      </c>
      <c r="AF34" s="338">
        <f t="shared" si="9"/>
        <v>0.96118421052631509</v>
      </c>
      <c r="AG34" s="616"/>
    </row>
    <row r="35" spans="1:33" ht="15.75" customHeight="1">
      <c r="A35" s="633" t="s">
        <v>1730</v>
      </c>
      <c r="B35" s="27" t="s">
        <v>1729</v>
      </c>
      <c r="C35" s="658"/>
      <c r="D35" s="658"/>
      <c r="E35" s="339"/>
      <c r="F35" s="342"/>
      <c r="G35" s="333"/>
      <c r="H35" s="342"/>
      <c r="I35" s="21">
        <v>17.333333333333332</v>
      </c>
      <c r="J35" s="29">
        <v>2400</v>
      </c>
      <c r="K35" s="12">
        <f t="shared" si="1"/>
        <v>138.46153846153848</v>
      </c>
      <c r="L35" s="21">
        <v>17.333333333333332</v>
      </c>
      <c r="M35" s="13">
        <f>AVERAGE(M29:M34)</f>
        <v>2307.0042043204976</v>
      </c>
      <c r="N35" s="12">
        <f t="shared" si="3"/>
        <v>133.09639640310564</v>
      </c>
      <c r="O35" s="14">
        <f t="shared" si="4"/>
        <v>0</v>
      </c>
      <c r="P35" s="15">
        <f t="shared" si="5"/>
        <v>-5.3651420584328378</v>
      </c>
      <c r="Q35" s="338">
        <f t="shared" si="6"/>
        <v>0.96125175180020728</v>
      </c>
      <c r="R35" s="616"/>
      <c r="S35" s="32"/>
      <c r="T35" s="32"/>
      <c r="U35" s="333"/>
      <c r="V35" s="341"/>
      <c r="W35" s="333"/>
      <c r="X35" s="333"/>
      <c r="Y35" s="22">
        <f>SUM(Y29:Y34)</f>
        <v>0</v>
      </c>
      <c r="Z35" s="22">
        <f>SUM(Z29:Z34)</f>
        <v>0</v>
      </c>
      <c r="AA35" s="611"/>
      <c r="AB35" s="611"/>
      <c r="AC35" s="22">
        <v>6</v>
      </c>
      <c r="AD35" s="22">
        <f>SUM(AD29:AD34)</f>
        <v>0</v>
      </c>
      <c r="AE35" s="14">
        <f t="shared" si="8"/>
        <v>-92.995795679502407</v>
      </c>
      <c r="AF35" s="338">
        <f t="shared" si="9"/>
        <v>0.96125175180020728</v>
      </c>
      <c r="AG35" s="616"/>
    </row>
    <row r="36" spans="1:33" ht="15.75" customHeight="1">
      <c r="A36" s="629" t="s">
        <v>1731</v>
      </c>
      <c r="B36" s="27" t="s">
        <v>20</v>
      </c>
      <c r="C36" s="660" t="s">
        <v>58</v>
      </c>
      <c r="D36" s="660"/>
      <c r="E36" s="27">
        <v>26.18</v>
      </c>
      <c r="F36" s="342">
        <v>5069</v>
      </c>
      <c r="G36" s="333">
        <f t="shared" ref="G36:G41" si="27">E36*F36</f>
        <v>132706.42000000001</v>
      </c>
      <c r="H36" s="31" t="s">
        <v>40</v>
      </c>
      <c r="I36" s="340">
        <v>20</v>
      </c>
      <c r="J36" s="29">
        <v>2400</v>
      </c>
      <c r="K36" s="12">
        <f t="shared" si="1"/>
        <v>120</v>
      </c>
      <c r="L36" s="340">
        <v>20</v>
      </c>
      <c r="M36" s="13">
        <f t="shared" ref="M36:M41" si="28">F36/V36*60</f>
        <v>2286.7669172932337</v>
      </c>
      <c r="N36" s="12">
        <f t="shared" si="3"/>
        <v>114.33834586466169</v>
      </c>
      <c r="O36" s="14">
        <f t="shared" si="4"/>
        <v>0</v>
      </c>
      <c r="P36" s="15">
        <f t="shared" si="5"/>
        <v>-5.6616541353383099</v>
      </c>
      <c r="Q36" s="338">
        <f t="shared" si="6"/>
        <v>0.95281954887218079</v>
      </c>
      <c r="R36" s="616">
        <f>Q42</f>
        <v>0.95730805572124156</v>
      </c>
      <c r="S36" s="32">
        <v>8.3333333333333329E-2</v>
      </c>
      <c r="T36" s="32">
        <v>0.17569444444444443</v>
      </c>
      <c r="U36" s="333"/>
      <c r="V36" s="341">
        <f t="shared" ref="V36:V41" si="29">(T36-S36)*24*60</f>
        <v>132.99999999999997</v>
      </c>
      <c r="W36" s="20">
        <f>T36</f>
        <v>0.17569444444444443</v>
      </c>
      <c r="X36" s="20">
        <f>S37</f>
        <v>0.19444444444444442</v>
      </c>
      <c r="Y36" s="20"/>
      <c r="Z36" s="20"/>
      <c r="AA36" s="612"/>
      <c r="AB36" s="612"/>
      <c r="AC36" s="18">
        <v>6</v>
      </c>
      <c r="AD36" s="18"/>
      <c r="AE36" s="14">
        <f t="shared" si="8"/>
        <v>-113.23308270676625</v>
      </c>
      <c r="AF36" s="338">
        <f t="shared" si="9"/>
        <v>0.95281954887218068</v>
      </c>
      <c r="AG36" s="616">
        <f>AF42</f>
        <v>0.95730805572124156</v>
      </c>
    </row>
    <row r="37" spans="1:33" ht="15.75" customHeight="1">
      <c r="A37" s="629" t="s">
        <v>1731</v>
      </c>
      <c r="B37" s="27" t="s">
        <v>20</v>
      </c>
      <c r="C37" s="660" t="s">
        <v>25</v>
      </c>
      <c r="D37" s="660"/>
      <c r="E37" s="27">
        <v>24.43</v>
      </c>
      <c r="F37" s="342">
        <v>3400</v>
      </c>
      <c r="G37" s="333">
        <f t="shared" si="27"/>
        <v>83062</v>
      </c>
      <c r="H37" s="31">
        <v>2</v>
      </c>
      <c r="I37" s="340">
        <v>14</v>
      </c>
      <c r="J37" s="29">
        <v>2400</v>
      </c>
      <c r="K37" s="12">
        <f t="shared" si="1"/>
        <v>171.42857142857142</v>
      </c>
      <c r="L37" s="340">
        <v>14</v>
      </c>
      <c r="M37" s="13">
        <f t="shared" si="28"/>
        <v>2292.1348314606744</v>
      </c>
      <c r="N37" s="12">
        <f t="shared" si="3"/>
        <v>163.72391653290532</v>
      </c>
      <c r="O37" s="14">
        <f t="shared" si="4"/>
        <v>0</v>
      </c>
      <c r="P37" s="15">
        <f t="shared" si="5"/>
        <v>-7.7046548956660956</v>
      </c>
      <c r="Q37" s="338">
        <f t="shared" si="6"/>
        <v>0.95505617977528112</v>
      </c>
      <c r="R37" s="616"/>
      <c r="S37" s="32">
        <v>0.19444444444444442</v>
      </c>
      <c r="T37" s="32">
        <v>0.25624999999999998</v>
      </c>
      <c r="U37" s="333">
        <f t="shared" ref="U37:U41" si="30">(S37-T36)*24*60</f>
        <v>26.999999999999986</v>
      </c>
      <c r="V37" s="341">
        <f t="shared" si="29"/>
        <v>89</v>
      </c>
      <c r="W37" s="333"/>
      <c r="X37" s="333"/>
      <c r="Y37" s="333"/>
      <c r="Z37" s="333"/>
      <c r="AA37" s="612"/>
      <c r="AB37" s="612"/>
      <c r="AC37" s="18"/>
      <c r="AD37" s="18"/>
      <c r="AE37" s="14">
        <f t="shared" si="8"/>
        <v>-107.86516853932562</v>
      </c>
      <c r="AF37" s="338">
        <f t="shared" si="9"/>
        <v>0.95505617977528101</v>
      </c>
      <c r="AG37" s="616"/>
    </row>
    <row r="38" spans="1:33">
      <c r="A38" s="630" t="s">
        <v>1731</v>
      </c>
      <c r="B38" s="27" t="s">
        <v>20</v>
      </c>
      <c r="C38" s="660" t="s">
        <v>83</v>
      </c>
      <c r="D38" s="660"/>
      <c r="E38" s="27">
        <v>25.98</v>
      </c>
      <c r="F38" s="342">
        <v>3332</v>
      </c>
      <c r="G38" s="333">
        <f t="shared" si="27"/>
        <v>86565.36</v>
      </c>
      <c r="H38" s="31" t="s">
        <v>40</v>
      </c>
      <c r="I38" s="340">
        <v>20</v>
      </c>
      <c r="J38" s="29">
        <v>2400</v>
      </c>
      <c r="K38" s="12">
        <f t="shared" si="1"/>
        <v>120</v>
      </c>
      <c r="L38" s="340">
        <v>20</v>
      </c>
      <c r="M38" s="13">
        <f t="shared" si="28"/>
        <v>2297.9310344827582</v>
      </c>
      <c r="N38" s="12">
        <f t="shared" si="3"/>
        <v>114.89655172413791</v>
      </c>
      <c r="O38" s="14">
        <f t="shared" si="4"/>
        <v>0</v>
      </c>
      <c r="P38" s="15">
        <f t="shared" si="5"/>
        <v>-5.1034482758620925</v>
      </c>
      <c r="Q38" s="338">
        <f t="shared" si="6"/>
        <v>0.95747126436781593</v>
      </c>
      <c r="R38" s="616"/>
      <c r="S38" s="32">
        <v>0.25972222222222219</v>
      </c>
      <c r="T38" s="32">
        <v>0.32013888888888886</v>
      </c>
      <c r="U38" s="333">
        <f t="shared" si="30"/>
        <v>4.9999999999999822</v>
      </c>
      <c r="V38" s="341">
        <f t="shared" si="29"/>
        <v>87.000000000000014</v>
      </c>
      <c r="W38" s="333"/>
      <c r="X38" s="333"/>
      <c r="Y38" s="333"/>
      <c r="Z38" s="333"/>
      <c r="AA38" s="612"/>
      <c r="AB38" s="612"/>
      <c r="AC38" s="18"/>
      <c r="AD38" s="18"/>
      <c r="AE38" s="14">
        <f t="shared" si="8"/>
        <v>-102.06896551724185</v>
      </c>
      <c r="AF38" s="338">
        <f t="shared" si="9"/>
        <v>0.95747126436781593</v>
      </c>
      <c r="AG38" s="616"/>
    </row>
    <row r="39" spans="1:33">
      <c r="A39" s="630" t="s">
        <v>1731</v>
      </c>
      <c r="B39" s="27" t="s">
        <v>20</v>
      </c>
      <c r="C39" s="660" t="s">
        <v>26</v>
      </c>
      <c r="D39" s="660"/>
      <c r="E39" s="27">
        <v>34.1</v>
      </c>
      <c r="F39" s="342">
        <v>5437</v>
      </c>
      <c r="G39" s="333">
        <f t="shared" si="27"/>
        <v>185401.7</v>
      </c>
      <c r="H39" s="31" t="s">
        <v>40</v>
      </c>
      <c r="I39" s="340">
        <v>17</v>
      </c>
      <c r="J39" s="29">
        <v>1600</v>
      </c>
      <c r="K39" s="12">
        <f t="shared" si="1"/>
        <v>94.117647058823536</v>
      </c>
      <c r="L39" s="340">
        <v>17</v>
      </c>
      <c r="M39" s="13">
        <f t="shared" si="28"/>
        <v>1524.3925233644857</v>
      </c>
      <c r="N39" s="12">
        <f t="shared" si="3"/>
        <v>89.670148433205043</v>
      </c>
      <c r="O39" s="14">
        <f t="shared" si="4"/>
        <v>0</v>
      </c>
      <c r="P39" s="15">
        <f t="shared" si="5"/>
        <v>-4.4474986256184934</v>
      </c>
      <c r="Q39" s="338">
        <f t="shared" si="6"/>
        <v>0.95274532710280346</v>
      </c>
      <c r="R39" s="616"/>
      <c r="S39" s="32">
        <v>0.32499999999999996</v>
      </c>
      <c r="T39" s="32">
        <v>0.47361111111111109</v>
      </c>
      <c r="U39" s="333">
        <f t="shared" si="30"/>
        <v>6.9999999999999751</v>
      </c>
      <c r="V39" s="341">
        <f t="shared" si="29"/>
        <v>214.00000000000003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-75.607476635514331</v>
      </c>
      <c r="AF39" s="338">
        <f t="shared" si="9"/>
        <v>0.95274532710280357</v>
      </c>
      <c r="AG39" s="616"/>
    </row>
    <row r="40" spans="1:33">
      <c r="A40" s="630" t="s">
        <v>1731</v>
      </c>
      <c r="B40" s="27" t="s">
        <v>20</v>
      </c>
      <c r="C40" s="660" t="s">
        <v>64</v>
      </c>
      <c r="D40" s="660"/>
      <c r="E40" s="27">
        <v>20.21</v>
      </c>
      <c r="F40" s="342">
        <v>2084</v>
      </c>
      <c r="G40" s="333">
        <f t="shared" si="27"/>
        <v>42117.64</v>
      </c>
      <c r="H40" s="31" t="s">
        <v>40</v>
      </c>
      <c r="I40" s="340">
        <v>18</v>
      </c>
      <c r="J40" s="29">
        <v>2400</v>
      </c>
      <c r="K40" s="12">
        <f t="shared" si="1"/>
        <v>133.33333333333334</v>
      </c>
      <c r="L40" s="340">
        <v>18</v>
      </c>
      <c r="M40" s="13">
        <f t="shared" si="28"/>
        <v>2315.5555555555566</v>
      </c>
      <c r="N40" s="12">
        <f t="shared" si="3"/>
        <v>128.64197530864203</v>
      </c>
      <c r="O40" s="14">
        <f t="shared" si="4"/>
        <v>0</v>
      </c>
      <c r="P40" s="15">
        <f t="shared" si="5"/>
        <v>-4.6913580246913114</v>
      </c>
      <c r="Q40" s="338">
        <f t="shared" si="6"/>
        <v>0.96481481481481512</v>
      </c>
      <c r="R40" s="616"/>
      <c r="S40" s="32">
        <v>0.4770833333333333</v>
      </c>
      <c r="T40" s="32">
        <v>0.51458333333333328</v>
      </c>
      <c r="U40" s="333">
        <f t="shared" si="30"/>
        <v>4.9999999999999822</v>
      </c>
      <c r="V40" s="341">
        <f t="shared" si="29"/>
        <v>53.999999999999972</v>
      </c>
      <c r="W40" s="16">
        <f>T40</f>
        <v>0.51458333333333328</v>
      </c>
      <c r="X40" s="16">
        <f>S41</f>
        <v>0.55347222222222214</v>
      </c>
      <c r="Y40" s="16"/>
      <c r="Z40" s="16"/>
      <c r="AA40" s="612"/>
      <c r="AB40" s="612"/>
      <c r="AC40" s="18"/>
      <c r="AD40" s="18"/>
      <c r="AE40" s="14">
        <f t="shared" si="8"/>
        <v>-84.444444444443434</v>
      </c>
      <c r="AF40" s="338">
        <f t="shared" si="9"/>
        <v>0.96481481481481524</v>
      </c>
      <c r="AG40" s="616"/>
    </row>
    <row r="41" spans="1:33">
      <c r="A41" s="630" t="s">
        <v>1731</v>
      </c>
      <c r="B41" s="27" t="s">
        <v>20</v>
      </c>
      <c r="C41" s="660" t="s">
        <v>25</v>
      </c>
      <c r="D41" s="660"/>
      <c r="E41" s="27">
        <v>24.43</v>
      </c>
      <c r="F41" s="342">
        <v>2648</v>
      </c>
      <c r="G41" s="333">
        <f t="shared" si="27"/>
        <v>64690.64</v>
      </c>
      <c r="H41" s="31" t="s">
        <v>40</v>
      </c>
      <c r="I41" s="340">
        <v>14</v>
      </c>
      <c r="J41" s="29">
        <v>2400</v>
      </c>
      <c r="K41" s="12">
        <f t="shared" si="1"/>
        <v>171.42857142857142</v>
      </c>
      <c r="L41" s="340">
        <v>14</v>
      </c>
      <c r="M41" s="13">
        <f t="shared" si="28"/>
        <v>2302.6086956521767</v>
      </c>
      <c r="N41" s="12">
        <f t="shared" si="3"/>
        <v>164.47204968944121</v>
      </c>
      <c r="O41" s="14">
        <f t="shared" si="4"/>
        <v>0</v>
      </c>
      <c r="P41" s="15">
        <f t="shared" si="5"/>
        <v>-6.9565217391302099</v>
      </c>
      <c r="Q41" s="338">
        <f t="shared" si="6"/>
        <v>0.95942028985507377</v>
      </c>
      <c r="R41" s="616"/>
      <c r="S41" s="32">
        <v>0.55347222222222214</v>
      </c>
      <c r="T41" s="32">
        <v>0.60138888888888875</v>
      </c>
      <c r="U41" s="333">
        <f t="shared" si="30"/>
        <v>55.999999999999957</v>
      </c>
      <c r="V41" s="341">
        <f t="shared" si="29"/>
        <v>68.999999999999915</v>
      </c>
      <c r="W41" s="16"/>
      <c r="X41" s="16"/>
      <c r="Y41" s="16"/>
      <c r="Z41" s="16"/>
      <c r="AA41" s="612"/>
      <c r="AB41" s="612"/>
      <c r="AC41" s="18"/>
      <c r="AD41" s="18"/>
      <c r="AE41" s="14">
        <f t="shared" si="8"/>
        <v>-97.391304347823279</v>
      </c>
      <c r="AF41" s="338">
        <f t="shared" si="9"/>
        <v>0.95942028985507366</v>
      </c>
      <c r="AG41" s="616"/>
    </row>
    <row r="42" spans="1:33">
      <c r="A42" s="630" t="s">
        <v>1731</v>
      </c>
      <c r="B42" s="28" t="s">
        <v>1729</v>
      </c>
      <c r="C42" s="658"/>
      <c r="D42" s="658"/>
      <c r="E42" s="339"/>
      <c r="F42" s="28"/>
      <c r="G42" s="12"/>
      <c r="H42" s="342"/>
      <c r="I42" s="21">
        <v>17.166666666666668</v>
      </c>
      <c r="J42" s="29">
        <v>2266.6666666666665</v>
      </c>
      <c r="K42" s="12">
        <f t="shared" si="1"/>
        <v>132.03883495145629</v>
      </c>
      <c r="L42" s="21">
        <v>17.166666666666668</v>
      </c>
      <c r="M42" s="13">
        <f>AVERAGE(M36:M41)</f>
        <v>2169.8982596348142</v>
      </c>
      <c r="N42" s="12">
        <f t="shared" si="3"/>
        <v>126.40184036707655</v>
      </c>
      <c r="O42" s="14">
        <f t="shared" si="4"/>
        <v>0</v>
      </c>
      <c r="P42" s="15">
        <f t="shared" si="5"/>
        <v>-5.6369945843797495</v>
      </c>
      <c r="Q42" s="338">
        <f t="shared" si="6"/>
        <v>0.95730805572124156</v>
      </c>
      <c r="R42" s="616"/>
      <c r="S42" s="32"/>
      <c r="T42" s="32"/>
      <c r="U42" s="12"/>
      <c r="V42" s="341"/>
      <c r="W42" s="12"/>
      <c r="X42" s="12"/>
      <c r="Y42" s="22">
        <f>SUM(Y36:Y41)</f>
        <v>0</v>
      </c>
      <c r="Z42" s="22">
        <f>SUM(Z36:Z41)</f>
        <v>0</v>
      </c>
      <c r="AA42" s="611"/>
      <c r="AB42" s="611"/>
      <c r="AC42" s="22">
        <v>6</v>
      </c>
      <c r="AD42" s="22">
        <f>SUM(AD36:AD41)</f>
        <v>0</v>
      </c>
      <c r="AE42" s="14">
        <f t="shared" si="8"/>
        <v>-96.768407031852348</v>
      </c>
      <c r="AF42" s="338">
        <f t="shared" si="9"/>
        <v>0.95730805572124156</v>
      </c>
      <c r="AG42" s="616"/>
    </row>
    <row r="43" spans="1:33" ht="15.75" customHeight="1">
      <c r="A43" s="623" t="s">
        <v>1732</v>
      </c>
      <c r="B43" s="27" t="s">
        <v>27</v>
      </c>
      <c r="C43" s="605" t="s">
        <v>33</v>
      </c>
      <c r="D43" s="606"/>
      <c r="E43" s="27">
        <v>34.36</v>
      </c>
      <c r="F43" s="342">
        <v>1910</v>
      </c>
      <c r="G43" s="333">
        <f t="shared" ref="G43:G46" si="31">E43*F43</f>
        <v>65627.600000000006</v>
      </c>
      <c r="H43" s="31" t="s">
        <v>40</v>
      </c>
      <c r="I43" s="340">
        <v>10</v>
      </c>
      <c r="J43" s="29">
        <v>3000</v>
      </c>
      <c r="K43" s="12">
        <f t="shared" si="1"/>
        <v>300</v>
      </c>
      <c r="L43" s="340">
        <v>10</v>
      </c>
      <c r="M43" s="13">
        <f t="shared" ref="M43:M46" si="32">F43/V43*60</f>
        <v>2865.0000000000018</v>
      </c>
      <c r="N43" s="13">
        <f t="shared" si="3"/>
        <v>286.50000000000017</v>
      </c>
      <c r="O43" s="14">
        <f t="shared" si="4"/>
        <v>0</v>
      </c>
      <c r="P43" s="15">
        <f t="shared" si="5"/>
        <v>-13.499999999999829</v>
      </c>
      <c r="Q43" s="338">
        <f t="shared" si="6"/>
        <v>0.95500000000000052</v>
      </c>
      <c r="R43" s="626">
        <f>Q47</f>
        <v>0.95733086261865763</v>
      </c>
      <c r="S43" s="32">
        <v>0.20833333333333334</v>
      </c>
      <c r="T43" s="32">
        <v>0.2361111111111111</v>
      </c>
      <c r="U43" s="20"/>
      <c r="V43" s="341">
        <f t="shared" ref="V43:V46" si="33">(T43-S43)*24*60</f>
        <v>39.999999999999979</v>
      </c>
      <c r="W43" s="16"/>
      <c r="X43" s="16"/>
      <c r="Y43" s="19"/>
      <c r="Z43" s="19"/>
      <c r="AA43" s="607"/>
      <c r="AB43" s="608"/>
      <c r="AC43" s="18">
        <v>4</v>
      </c>
      <c r="AD43" s="18"/>
      <c r="AE43" s="14">
        <f t="shared" si="8"/>
        <v>-134.99999999999818</v>
      </c>
      <c r="AF43" s="338">
        <f t="shared" si="9"/>
        <v>0.95500000000000063</v>
      </c>
      <c r="AG43" s="626">
        <f>AF47</f>
        <v>0.95733086261865763</v>
      </c>
    </row>
    <row r="44" spans="1:33" ht="15.75" customHeight="1">
      <c r="A44" s="624" t="s">
        <v>1732</v>
      </c>
      <c r="B44" s="27" t="s">
        <v>27</v>
      </c>
      <c r="C44" s="605" t="s">
        <v>29</v>
      </c>
      <c r="D44" s="606"/>
      <c r="E44" s="27">
        <v>21.13</v>
      </c>
      <c r="F44" s="342">
        <v>4943</v>
      </c>
      <c r="G44" s="333">
        <f t="shared" si="31"/>
        <v>104445.59</v>
      </c>
      <c r="H44" s="31" t="s">
        <v>40</v>
      </c>
      <c r="I44" s="340">
        <v>10</v>
      </c>
      <c r="J44" s="29">
        <v>3000</v>
      </c>
      <c r="K44" s="12">
        <f t="shared" si="1"/>
        <v>300</v>
      </c>
      <c r="L44" s="340">
        <v>10</v>
      </c>
      <c r="M44" s="13">
        <f t="shared" si="32"/>
        <v>2879.4174757281553</v>
      </c>
      <c r="N44" s="13">
        <f t="shared" si="3"/>
        <v>287.94174757281553</v>
      </c>
      <c r="O44" s="14">
        <f t="shared" si="4"/>
        <v>0</v>
      </c>
      <c r="P44" s="15">
        <f t="shared" si="5"/>
        <v>-12.05825242718447</v>
      </c>
      <c r="Q44" s="338">
        <f t="shared" si="6"/>
        <v>0.9598058252427184</v>
      </c>
      <c r="R44" s="627"/>
      <c r="S44" s="32">
        <v>0.24097222222222223</v>
      </c>
      <c r="T44" s="32">
        <v>0.3125</v>
      </c>
      <c r="U44" s="333">
        <f t="shared" ref="U44:U46" si="34">(S44-T43)*24*60</f>
        <v>7.0000000000000151</v>
      </c>
      <c r="V44" s="341">
        <f t="shared" si="33"/>
        <v>103</v>
      </c>
      <c r="W44" s="16"/>
      <c r="X44" s="16"/>
      <c r="Y44" s="19"/>
      <c r="Z44" s="19"/>
      <c r="AA44" s="607"/>
      <c r="AB44" s="608"/>
      <c r="AC44" s="18"/>
      <c r="AD44" s="18"/>
      <c r="AE44" s="14">
        <f t="shared" si="8"/>
        <v>-120.5825242718447</v>
      </c>
      <c r="AF44" s="338">
        <f t="shared" si="9"/>
        <v>0.9598058252427184</v>
      </c>
      <c r="AG44" s="627"/>
    </row>
    <row r="45" spans="1:33" ht="15.75" customHeight="1">
      <c r="A45" s="624" t="s">
        <v>1732</v>
      </c>
      <c r="B45" s="27" t="s">
        <v>27</v>
      </c>
      <c r="C45" s="605" t="s">
        <v>30</v>
      </c>
      <c r="D45" s="606"/>
      <c r="E45" s="27">
        <v>27.17</v>
      </c>
      <c r="F45" s="342">
        <v>4666</v>
      </c>
      <c r="G45" s="333">
        <f t="shared" si="31"/>
        <v>126775.22</v>
      </c>
      <c r="H45" s="31" t="s">
        <v>40</v>
      </c>
      <c r="I45" s="340">
        <v>10</v>
      </c>
      <c r="J45" s="29">
        <v>3000</v>
      </c>
      <c r="K45" s="12">
        <f t="shared" si="1"/>
        <v>300</v>
      </c>
      <c r="L45" s="340">
        <v>10</v>
      </c>
      <c r="M45" s="13">
        <f t="shared" si="32"/>
        <v>2856.7346938775522</v>
      </c>
      <c r="N45" s="13">
        <f t="shared" si="3"/>
        <v>285.67346938775523</v>
      </c>
      <c r="O45" s="14">
        <f t="shared" si="4"/>
        <v>0</v>
      </c>
      <c r="P45" s="15">
        <f t="shared" si="5"/>
        <v>-14.326530612244767</v>
      </c>
      <c r="Q45" s="338">
        <f t="shared" si="6"/>
        <v>0.9522448979591841</v>
      </c>
      <c r="R45" s="627"/>
      <c r="S45" s="32">
        <v>0.31666666666666665</v>
      </c>
      <c r="T45" s="32">
        <v>0.38472222222222219</v>
      </c>
      <c r="U45" s="333">
        <f t="shared" si="34"/>
        <v>5.9999999999999787</v>
      </c>
      <c r="V45" s="341">
        <f t="shared" si="33"/>
        <v>97.999999999999972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-143.26530612244778</v>
      </c>
      <c r="AF45" s="338">
        <f t="shared" si="9"/>
        <v>0.9522448979591841</v>
      </c>
      <c r="AG45" s="627"/>
    </row>
    <row r="46" spans="1:33" ht="15.75" customHeight="1">
      <c r="A46" s="624" t="s">
        <v>1732</v>
      </c>
      <c r="B46" s="27" t="s">
        <v>27</v>
      </c>
      <c r="C46" s="605" t="s">
        <v>35</v>
      </c>
      <c r="D46" s="606"/>
      <c r="E46" s="27">
        <v>35.869999999999997</v>
      </c>
      <c r="F46" s="342">
        <v>2117</v>
      </c>
      <c r="G46" s="333">
        <f t="shared" si="31"/>
        <v>75936.789999999994</v>
      </c>
      <c r="H46" s="31" t="s">
        <v>40</v>
      </c>
      <c r="I46" s="340">
        <v>9</v>
      </c>
      <c r="J46" s="29">
        <v>3000</v>
      </c>
      <c r="K46" s="12">
        <f t="shared" si="1"/>
        <v>333.33333333333331</v>
      </c>
      <c r="L46" s="340">
        <v>9</v>
      </c>
      <c r="M46" s="13">
        <f t="shared" si="32"/>
        <v>2886.818181818182</v>
      </c>
      <c r="N46" s="13">
        <f t="shared" si="3"/>
        <v>320.75757575757575</v>
      </c>
      <c r="O46" s="14">
        <f t="shared" si="4"/>
        <v>0</v>
      </c>
      <c r="P46" s="15">
        <f t="shared" si="5"/>
        <v>-12.575757575757564</v>
      </c>
      <c r="Q46" s="338">
        <f t="shared" si="6"/>
        <v>0.96227272727272728</v>
      </c>
      <c r="R46" s="627"/>
      <c r="S46" s="32">
        <v>0.38958333333333328</v>
      </c>
      <c r="T46" s="32">
        <v>0.42013888888888884</v>
      </c>
      <c r="U46" s="333">
        <f t="shared" si="34"/>
        <v>6.9999999999999751</v>
      </c>
      <c r="V46" s="341">
        <f t="shared" si="33"/>
        <v>44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-113.18181818181802</v>
      </c>
      <c r="AF46" s="338">
        <f t="shared" si="9"/>
        <v>0.96227272727272728</v>
      </c>
      <c r="AG46" s="627"/>
    </row>
    <row r="47" spans="1:33" ht="15.75" customHeight="1">
      <c r="A47" s="625" t="s">
        <v>1732</v>
      </c>
      <c r="B47" s="27" t="s">
        <v>1729</v>
      </c>
      <c r="C47" s="609"/>
      <c r="D47" s="610"/>
      <c r="E47" s="331"/>
      <c r="F47" s="342"/>
      <c r="G47" s="333"/>
      <c r="H47" s="342"/>
      <c r="I47" s="21">
        <v>9.75</v>
      </c>
      <c r="J47" s="29">
        <v>3000</v>
      </c>
      <c r="K47" s="12">
        <f t="shared" si="1"/>
        <v>307.69230769230768</v>
      </c>
      <c r="L47" s="21">
        <v>9.75</v>
      </c>
      <c r="M47" s="13">
        <f>AVERAGE(M43:M46)</f>
        <v>2871.9925878559729</v>
      </c>
      <c r="N47" s="12">
        <f t="shared" si="3"/>
        <v>294.56334234420234</v>
      </c>
      <c r="O47" s="14">
        <f t="shared" si="4"/>
        <v>0</v>
      </c>
      <c r="P47" s="15">
        <f t="shared" si="5"/>
        <v>-13.128965348105339</v>
      </c>
      <c r="Q47" s="338">
        <f t="shared" si="6"/>
        <v>0.95733086261865763</v>
      </c>
      <c r="R47" s="628"/>
      <c r="S47" s="32"/>
      <c r="T47" s="32"/>
      <c r="U47" s="333"/>
      <c r="V47" s="341"/>
      <c r="W47" s="16"/>
      <c r="X47" s="16"/>
      <c r="Y47" s="22">
        <f>SUM(Y43:Y46)</f>
        <v>0</v>
      </c>
      <c r="Z47" s="22">
        <f>SUM(Z43:Z46)</f>
        <v>0</v>
      </c>
      <c r="AA47" s="619"/>
      <c r="AB47" s="620"/>
      <c r="AC47" s="22">
        <v>4</v>
      </c>
      <c r="AD47" s="22">
        <f>SUM(AD43:AD46)</f>
        <v>0</v>
      </c>
      <c r="AE47" s="14">
        <f t="shared" si="8"/>
        <v>-128.00741214402706</v>
      </c>
      <c r="AF47" s="338">
        <f t="shared" si="9"/>
        <v>0.95733086261865763</v>
      </c>
      <c r="AG47" s="628"/>
    </row>
    <row r="48" spans="1:33" ht="15.75" customHeight="1">
      <c r="A48" s="621" t="s">
        <v>1733</v>
      </c>
      <c r="B48" s="27" t="s">
        <v>5</v>
      </c>
      <c r="C48" s="660" t="s">
        <v>15</v>
      </c>
      <c r="D48" s="660"/>
      <c r="E48" s="27">
        <v>59.04</v>
      </c>
      <c r="F48" s="30">
        <v>1515</v>
      </c>
      <c r="G48" s="333">
        <f t="shared" ref="G48:G55" si="35">E48*F48</f>
        <v>89445.6</v>
      </c>
      <c r="H48" s="31" t="s">
        <v>40</v>
      </c>
      <c r="I48" s="340">
        <v>19</v>
      </c>
      <c r="J48" s="29">
        <v>2000</v>
      </c>
      <c r="K48" s="12">
        <f t="shared" si="1"/>
        <v>105.26315789473684</v>
      </c>
      <c r="L48" s="340">
        <v>19</v>
      </c>
      <c r="M48" s="13">
        <f t="shared" ref="M48" si="36">F48/V48*60</f>
        <v>1934.0425531914896</v>
      </c>
      <c r="N48" s="13">
        <f t="shared" si="3"/>
        <v>101.79171332586787</v>
      </c>
      <c r="O48" s="14">
        <f t="shared" si="4"/>
        <v>0</v>
      </c>
      <c r="P48" s="15">
        <f t="shared" si="5"/>
        <v>-3.4714445688689608</v>
      </c>
      <c r="Q48" s="338">
        <f t="shared" si="6"/>
        <v>0.96702127659574488</v>
      </c>
      <c r="R48" s="616">
        <f>Q56</f>
        <v>0.95972294088040655</v>
      </c>
      <c r="S48" s="32">
        <v>0.20833333333333334</v>
      </c>
      <c r="T48" s="32">
        <v>0.24097222222222223</v>
      </c>
      <c r="U48" s="20"/>
      <c r="V48" s="341">
        <f t="shared" ref="V48:V55" si="37">(T48-S48)*24*60</f>
        <v>46.999999999999993</v>
      </c>
      <c r="W48" s="16"/>
      <c r="X48" s="16"/>
      <c r="Y48" s="20"/>
      <c r="Z48" s="20"/>
      <c r="AA48" s="612"/>
      <c r="AB48" s="612"/>
      <c r="AC48" s="18">
        <v>8</v>
      </c>
      <c r="AD48" s="18"/>
      <c r="AE48" s="14">
        <f t="shared" si="8"/>
        <v>-65.95744680851044</v>
      </c>
      <c r="AF48" s="338">
        <f t="shared" si="9"/>
        <v>0.96702127659574477</v>
      </c>
      <c r="AG48" s="616">
        <f>AF56</f>
        <v>0.95972294088040666</v>
      </c>
    </row>
    <row r="49" spans="1:33" ht="15.75" customHeight="1">
      <c r="A49" s="621" t="s">
        <v>1733</v>
      </c>
      <c r="B49" s="27" t="s">
        <v>5</v>
      </c>
      <c r="C49" s="660" t="s">
        <v>31</v>
      </c>
      <c r="D49" s="660"/>
      <c r="E49" s="27">
        <v>56.43</v>
      </c>
      <c r="F49" s="30">
        <v>1053</v>
      </c>
      <c r="G49" s="333">
        <f t="shared" si="35"/>
        <v>59420.79</v>
      </c>
      <c r="H49" s="31" t="s">
        <v>40</v>
      </c>
      <c r="I49" s="340">
        <v>22</v>
      </c>
      <c r="J49" s="29">
        <v>2000</v>
      </c>
      <c r="K49" s="12">
        <f t="shared" si="1"/>
        <v>90.909090909090907</v>
      </c>
      <c r="L49" s="340">
        <v>22</v>
      </c>
      <c r="M49" s="13">
        <f>F49/V49*60</f>
        <v>1914.545454545452</v>
      </c>
      <c r="N49" s="13">
        <f t="shared" si="3"/>
        <v>87.024793388429643</v>
      </c>
      <c r="O49" s="14">
        <f t="shared" si="4"/>
        <v>0</v>
      </c>
      <c r="P49" s="15">
        <f t="shared" si="5"/>
        <v>-3.8842975206612635</v>
      </c>
      <c r="Q49" s="338">
        <f t="shared" si="6"/>
        <v>0.95727272727272605</v>
      </c>
      <c r="R49" s="616"/>
      <c r="S49" s="32">
        <v>0.24513888888888891</v>
      </c>
      <c r="T49" s="32">
        <v>0.2680555555555556</v>
      </c>
      <c r="U49" s="333">
        <f t="shared" ref="U49:U55" si="38">IF(S49=TIME(17,0,0),"",(S49-T48)*24*60)</f>
        <v>6.0000000000000187</v>
      </c>
      <c r="V49" s="341">
        <f t="shared" si="37"/>
        <v>33.000000000000043</v>
      </c>
      <c r="W49" s="16"/>
      <c r="X49" s="16"/>
      <c r="Y49" s="16"/>
      <c r="Z49" s="16"/>
      <c r="AA49" s="612"/>
      <c r="AB49" s="612"/>
      <c r="AC49" s="18"/>
      <c r="AD49" s="18"/>
      <c r="AE49" s="14">
        <f t="shared" si="8"/>
        <v>-85.454545454547997</v>
      </c>
      <c r="AF49" s="338">
        <f t="shared" si="9"/>
        <v>0.95727272727272605</v>
      </c>
      <c r="AG49" s="616"/>
    </row>
    <row r="50" spans="1:33" ht="15.75" customHeight="1">
      <c r="A50" s="621" t="s">
        <v>1733</v>
      </c>
      <c r="B50" s="27" t="s">
        <v>5</v>
      </c>
      <c r="C50" s="605" t="s">
        <v>81</v>
      </c>
      <c r="D50" s="606"/>
      <c r="E50" s="27">
        <v>51.44</v>
      </c>
      <c r="F50" s="30">
        <v>1682</v>
      </c>
      <c r="G50" s="333">
        <f t="shared" si="35"/>
        <v>86522.08</v>
      </c>
      <c r="H50" s="31" t="s">
        <v>40</v>
      </c>
      <c r="I50" s="340">
        <v>25</v>
      </c>
      <c r="J50" s="29">
        <v>2000</v>
      </c>
      <c r="K50" s="12">
        <f t="shared" si="1"/>
        <v>80</v>
      </c>
      <c r="L50" s="340">
        <v>25</v>
      </c>
      <c r="M50" s="13">
        <f t="shared" ref="M50:M55" si="39">F50/V50*60</f>
        <v>1904.1509433962274</v>
      </c>
      <c r="N50" s="13">
        <f t="shared" si="3"/>
        <v>76.166037735849102</v>
      </c>
      <c r="O50" s="14">
        <f t="shared" si="4"/>
        <v>0</v>
      </c>
      <c r="P50" s="15">
        <f t="shared" si="5"/>
        <v>-3.8339622641508981</v>
      </c>
      <c r="Q50" s="338">
        <f t="shared" si="6"/>
        <v>0.9520754716981138</v>
      </c>
      <c r="R50" s="616"/>
      <c r="S50" s="32">
        <v>0.2729166666666667</v>
      </c>
      <c r="T50" s="32">
        <v>0.30972222222222223</v>
      </c>
      <c r="U50" s="333">
        <f t="shared" si="38"/>
        <v>6.9999999999999751</v>
      </c>
      <c r="V50" s="341">
        <f t="shared" si="37"/>
        <v>52.999999999999972</v>
      </c>
      <c r="W50" s="16"/>
      <c r="X50" s="16"/>
      <c r="Y50" s="19"/>
      <c r="Z50" s="19"/>
      <c r="AA50" s="612"/>
      <c r="AB50" s="612"/>
      <c r="AC50" s="18"/>
      <c r="AD50" s="18"/>
      <c r="AE50" s="14">
        <f t="shared" si="8"/>
        <v>-95.849056603772624</v>
      </c>
      <c r="AF50" s="338">
        <f t="shared" si="9"/>
        <v>0.95207547169811368</v>
      </c>
      <c r="AG50" s="616"/>
    </row>
    <row r="51" spans="1:33" ht="15.75" customHeight="1">
      <c r="A51" s="621" t="s">
        <v>1733</v>
      </c>
      <c r="B51" s="27" t="s">
        <v>8</v>
      </c>
      <c r="C51" s="334" t="s">
        <v>61</v>
      </c>
      <c r="D51" s="335"/>
      <c r="E51" s="27">
        <v>46</v>
      </c>
      <c r="F51" s="30">
        <v>1652</v>
      </c>
      <c r="G51" s="333">
        <f t="shared" si="35"/>
        <v>75992</v>
      </c>
      <c r="H51" s="31" t="s">
        <v>40</v>
      </c>
      <c r="I51" s="340">
        <v>16</v>
      </c>
      <c r="J51" s="29">
        <v>2000</v>
      </c>
      <c r="K51" s="12">
        <f t="shared" si="1"/>
        <v>125</v>
      </c>
      <c r="L51" s="340">
        <v>16</v>
      </c>
      <c r="M51" s="13">
        <f t="shared" si="39"/>
        <v>1906.1538461538473</v>
      </c>
      <c r="N51" s="13">
        <f t="shared" si="3"/>
        <v>119.13461538461546</v>
      </c>
      <c r="O51" s="14">
        <f t="shared" si="4"/>
        <v>0</v>
      </c>
      <c r="P51" s="15">
        <f t="shared" si="5"/>
        <v>-5.8653846153845421</v>
      </c>
      <c r="Q51" s="338">
        <f t="shared" si="6"/>
        <v>0.95307692307692371</v>
      </c>
      <c r="R51" s="616"/>
      <c r="S51" s="32">
        <v>0.31319444444444444</v>
      </c>
      <c r="T51" s="32">
        <v>0.34930555555555554</v>
      </c>
      <c r="U51" s="333">
        <f t="shared" si="38"/>
        <v>4.9999999999999822</v>
      </c>
      <c r="V51" s="341">
        <f t="shared" si="37"/>
        <v>51.999999999999972</v>
      </c>
      <c r="W51" s="16"/>
      <c r="X51" s="16"/>
      <c r="Y51" s="19"/>
      <c r="Z51" s="19"/>
      <c r="AA51" s="612"/>
      <c r="AB51" s="612"/>
      <c r="AC51" s="18"/>
      <c r="AD51" s="18"/>
      <c r="AE51" s="14">
        <f t="shared" si="8"/>
        <v>-93.846153846152674</v>
      </c>
      <c r="AF51" s="338">
        <f t="shared" si="9"/>
        <v>0.95307692307692371</v>
      </c>
      <c r="AG51" s="616"/>
    </row>
    <row r="52" spans="1:33" ht="15.75" customHeight="1">
      <c r="A52" s="621" t="s">
        <v>1733</v>
      </c>
      <c r="B52" s="27" t="s">
        <v>8</v>
      </c>
      <c r="C52" s="334" t="s">
        <v>79</v>
      </c>
      <c r="D52" s="335"/>
      <c r="E52" s="27">
        <v>46</v>
      </c>
      <c r="F52" s="30">
        <v>2171</v>
      </c>
      <c r="G52" s="333">
        <f t="shared" si="35"/>
        <v>99866</v>
      </c>
      <c r="H52" s="31" t="s">
        <v>40</v>
      </c>
      <c r="I52" s="340">
        <v>17</v>
      </c>
      <c r="J52" s="29">
        <v>2000</v>
      </c>
      <c r="K52" s="12">
        <f t="shared" si="1"/>
        <v>117.64705882352941</v>
      </c>
      <c r="L52" s="340">
        <v>17</v>
      </c>
      <c r="M52" s="13">
        <f t="shared" si="39"/>
        <v>1915.5882352941176</v>
      </c>
      <c r="N52" s="13">
        <f t="shared" si="3"/>
        <v>112.68166089965398</v>
      </c>
      <c r="O52" s="14">
        <f t="shared" si="4"/>
        <v>0</v>
      </c>
      <c r="P52" s="15">
        <f t="shared" si="5"/>
        <v>-4.9653979238754289</v>
      </c>
      <c r="Q52" s="338">
        <f t="shared" si="6"/>
        <v>0.95779411764705891</v>
      </c>
      <c r="R52" s="616"/>
      <c r="S52" s="32">
        <v>0.35486111111111107</v>
      </c>
      <c r="T52" s="32">
        <v>0.40208333333333329</v>
      </c>
      <c r="U52" s="333">
        <f t="shared" si="38"/>
        <v>7.9999999999999716</v>
      </c>
      <c r="V52" s="341">
        <f t="shared" si="37"/>
        <v>68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-84.411764705882433</v>
      </c>
      <c r="AF52" s="338">
        <f t="shared" si="9"/>
        <v>0.9577941176470588</v>
      </c>
      <c r="AG52" s="616"/>
    </row>
    <row r="53" spans="1:33" ht="15.75" customHeight="1">
      <c r="A53" s="621" t="s">
        <v>1733</v>
      </c>
      <c r="B53" s="27" t="s">
        <v>5</v>
      </c>
      <c r="C53" s="605" t="s">
        <v>77</v>
      </c>
      <c r="D53" s="606"/>
      <c r="E53" s="27">
        <v>54.09</v>
      </c>
      <c r="F53" s="30">
        <v>1001</v>
      </c>
      <c r="G53" s="333">
        <f t="shared" si="35"/>
        <v>54144.090000000004</v>
      </c>
      <c r="H53" s="31" t="s">
        <v>40</v>
      </c>
      <c r="I53" s="340">
        <v>13</v>
      </c>
      <c r="J53" s="29">
        <v>2000</v>
      </c>
      <c r="K53" s="12">
        <f t="shared" si="1"/>
        <v>153.84615384615384</v>
      </c>
      <c r="L53" s="340">
        <v>13</v>
      </c>
      <c r="M53" s="13">
        <f t="shared" si="39"/>
        <v>1937.4193548387066</v>
      </c>
      <c r="N53" s="13">
        <f t="shared" si="3"/>
        <v>149.0322580645159</v>
      </c>
      <c r="O53" s="14">
        <f t="shared" si="4"/>
        <v>0</v>
      </c>
      <c r="P53" s="15">
        <f t="shared" si="5"/>
        <v>-4.8138957816379389</v>
      </c>
      <c r="Q53" s="338">
        <f t="shared" si="6"/>
        <v>0.96870967741935343</v>
      </c>
      <c r="R53" s="616"/>
      <c r="S53" s="32">
        <v>0.70833333333333337</v>
      </c>
      <c r="T53" s="32">
        <v>0.72986111111111118</v>
      </c>
      <c r="U53" s="333" t="str">
        <f t="shared" si="38"/>
        <v/>
      </c>
      <c r="V53" s="341">
        <f t="shared" si="37"/>
        <v>31.00000000000005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-62.580645161293432</v>
      </c>
      <c r="AF53" s="338">
        <f t="shared" si="9"/>
        <v>0.96870967741935332</v>
      </c>
      <c r="AG53" s="616"/>
    </row>
    <row r="54" spans="1:33" ht="15.75" customHeight="1">
      <c r="A54" s="621" t="s">
        <v>1733</v>
      </c>
      <c r="B54" s="27" t="s">
        <v>5</v>
      </c>
      <c r="C54" s="605" t="s">
        <v>62</v>
      </c>
      <c r="D54" s="606"/>
      <c r="E54" s="27">
        <v>51.06</v>
      </c>
      <c r="F54" s="30">
        <v>3195</v>
      </c>
      <c r="G54" s="333">
        <f t="shared" si="35"/>
        <v>163136.70000000001</v>
      </c>
      <c r="H54" s="31" t="s">
        <v>40</v>
      </c>
      <c r="I54" s="340">
        <v>13</v>
      </c>
      <c r="J54" s="29">
        <v>2000</v>
      </c>
      <c r="K54" s="12">
        <f t="shared" si="1"/>
        <v>153.84615384615384</v>
      </c>
      <c r="L54" s="340">
        <v>13</v>
      </c>
      <c r="M54" s="13">
        <f t="shared" si="39"/>
        <v>1917.0000000000007</v>
      </c>
      <c r="N54" s="13">
        <f t="shared" si="3"/>
        <v>147.46153846153851</v>
      </c>
      <c r="O54" s="14">
        <f t="shared" si="4"/>
        <v>0</v>
      </c>
      <c r="P54" s="15">
        <f t="shared" si="5"/>
        <v>-6.38461538461533</v>
      </c>
      <c r="Q54" s="338">
        <f t="shared" si="6"/>
        <v>0.95850000000000035</v>
      </c>
      <c r="R54" s="616"/>
      <c r="S54" s="32">
        <v>0.73541666666666672</v>
      </c>
      <c r="T54" s="32">
        <v>0.80486111111111114</v>
      </c>
      <c r="U54" s="333">
        <f t="shared" si="38"/>
        <v>7.9999999999999716</v>
      </c>
      <c r="V54" s="341">
        <f t="shared" si="37"/>
        <v>99.999999999999972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-82.999999999999318</v>
      </c>
      <c r="AF54" s="338">
        <f t="shared" si="9"/>
        <v>0.95850000000000035</v>
      </c>
      <c r="AG54" s="616"/>
    </row>
    <row r="55" spans="1:33" ht="15.75" customHeight="1">
      <c r="A55" s="621" t="s">
        <v>1733</v>
      </c>
      <c r="B55" s="27" t="s">
        <v>5</v>
      </c>
      <c r="C55" s="605" t="s">
        <v>7</v>
      </c>
      <c r="D55" s="606"/>
      <c r="E55" s="27">
        <v>50.67</v>
      </c>
      <c r="F55" s="30">
        <v>1445</v>
      </c>
      <c r="G55" s="333">
        <f t="shared" si="35"/>
        <v>73218.150000000009</v>
      </c>
      <c r="H55" s="31" t="s">
        <v>40</v>
      </c>
      <c r="I55" s="340">
        <v>15</v>
      </c>
      <c r="J55" s="29">
        <v>2000</v>
      </c>
      <c r="K55" s="12">
        <f t="shared" si="1"/>
        <v>133.33333333333334</v>
      </c>
      <c r="L55" s="340">
        <v>15</v>
      </c>
      <c r="M55" s="13">
        <f t="shared" si="39"/>
        <v>1926.666666666667</v>
      </c>
      <c r="N55" s="13">
        <f t="shared" si="3"/>
        <v>128.44444444444446</v>
      </c>
      <c r="O55" s="14">
        <f t="shared" si="4"/>
        <v>0</v>
      </c>
      <c r="P55" s="15">
        <f t="shared" si="5"/>
        <v>-4.8888888888888857</v>
      </c>
      <c r="Q55" s="338">
        <f t="shared" si="6"/>
        <v>0.96333333333333337</v>
      </c>
      <c r="R55" s="616"/>
      <c r="S55" s="32">
        <v>0.80902777777777779</v>
      </c>
      <c r="T55" s="32">
        <v>0.84027777777777779</v>
      </c>
      <c r="U55" s="333">
        <f t="shared" si="38"/>
        <v>5.9999999999999787</v>
      </c>
      <c r="V55" s="341">
        <f t="shared" si="37"/>
        <v>45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-73.33333333333303</v>
      </c>
      <c r="AF55" s="338">
        <f t="shared" si="9"/>
        <v>0.96333333333333349</v>
      </c>
      <c r="AG55" s="616"/>
    </row>
    <row r="56" spans="1:33">
      <c r="A56" s="622" t="s">
        <v>1733</v>
      </c>
      <c r="B56" s="27" t="s">
        <v>1729</v>
      </c>
      <c r="C56" s="658"/>
      <c r="D56" s="658"/>
      <c r="E56" s="339"/>
      <c r="F56" s="28"/>
      <c r="G56" s="12"/>
      <c r="H56" s="342"/>
      <c r="I56" s="21">
        <v>17.5</v>
      </c>
      <c r="J56" s="29">
        <v>2000</v>
      </c>
      <c r="K56" s="12">
        <f t="shared" si="1"/>
        <v>114.28571428571429</v>
      </c>
      <c r="L56" s="21">
        <v>17.5</v>
      </c>
      <c r="M56" s="13">
        <f>AVERAGE(M48:M55)</f>
        <v>1919.4458817608133</v>
      </c>
      <c r="N56" s="12">
        <f t="shared" si="3"/>
        <v>109.68262181490361</v>
      </c>
      <c r="O56" s="14">
        <f t="shared" si="4"/>
        <v>0</v>
      </c>
      <c r="P56" s="15">
        <f t="shared" si="5"/>
        <v>-4.6030924708106795</v>
      </c>
      <c r="Q56" s="338">
        <f t="shared" si="6"/>
        <v>0.95972294088040655</v>
      </c>
      <c r="R56" s="616"/>
      <c r="S56" s="32"/>
      <c r="T56" s="32"/>
      <c r="U56" s="333"/>
      <c r="V56" s="341"/>
      <c r="W56" s="12"/>
      <c r="X56" s="12"/>
      <c r="Y56" s="22">
        <f>SUM(Y48:Y55)</f>
        <v>0</v>
      </c>
      <c r="Z56" s="22">
        <f>SUM(Z48:Z55)</f>
        <v>0</v>
      </c>
      <c r="AA56" s="611"/>
      <c r="AB56" s="611"/>
      <c r="AC56" s="22">
        <v>8</v>
      </c>
      <c r="AD56" s="22">
        <f>SUM(AD48:AD55)</f>
        <v>0</v>
      </c>
      <c r="AE56" s="14">
        <f>M56-J56</f>
        <v>-80.554118239186664</v>
      </c>
      <c r="AF56" s="338">
        <f t="shared" si="9"/>
        <v>0.95972294088040666</v>
      </c>
      <c r="AG56" s="616"/>
    </row>
    <row r="57" spans="1:33" ht="15.75" customHeight="1">
      <c r="A57" s="617" t="s">
        <v>1734</v>
      </c>
      <c r="B57" s="342" t="s">
        <v>27</v>
      </c>
      <c r="C57" s="660" t="s">
        <v>28</v>
      </c>
      <c r="D57" s="660"/>
      <c r="E57" s="27">
        <v>35.119999999999997</v>
      </c>
      <c r="F57" s="30">
        <v>4291</v>
      </c>
      <c r="G57" s="333">
        <f t="shared" ref="G57:G60" si="40">E57*F57</f>
        <v>150699.91999999998</v>
      </c>
      <c r="H57" s="31" t="s">
        <v>40</v>
      </c>
      <c r="I57" s="340">
        <v>10</v>
      </c>
      <c r="J57" s="29">
        <v>3000</v>
      </c>
      <c r="K57" s="12">
        <f t="shared" si="1"/>
        <v>300</v>
      </c>
      <c r="L57" s="340">
        <v>10</v>
      </c>
      <c r="M57" s="13">
        <f t="shared" ref="M57:M60" si="41">F57/V57*60</f>
        <v>2860.6666666666652</v>
      </c>
      <c r="N57" s="12">
        <f t="shared" si="3"/>
        <v>286.06666666666649</v>
      </c>
      <c r="O57" s="14">
        <f t="shared" si="4"/>
        <v>0</v>
      </c>
      <c r="P57" s="15">
        <f t="shared" si="5"/>
        <v>-13.933333333333508</v>
      </c>
      <c r="Q57" s="338">
        <f t="shared" si="6"/>
        <v>0.95355555555555493</v>
      </c>
      <c r="R57" s="616">
        <f>Q61</f>
        <v>0.96510690943043842</v>
      </c>
      <c r="S57" s="32">
        <v>0.20833333333333334</v>
      </c>
      <c r="T57" s="32">
        <v>0.27083333333333337</v>
      </c>
      <c r="U57" s="333"/>
      <c r="V57" s="341">
        <f t="shared" ref="V57:V60" si="42">(T57-S57)*24*60</f>
        <v>90.000000000000043</v>
      </c>
      <c r="W57" s="16"/>
      <c r="X57" s="16"/>
      <c r="Y57" s="20"/>
      <c r="Z57" s="20"/>
      <c r="AA57" s="612"/>
      <c r="AB57" s="612"/>
      <c r="AC57" s="18">
        <v>4</v>
      </c>
      <c r="AD57" s="18"/>
      <c r="AE57" s="14">
        <f t="shared" ref="AE57:AE69" si="43">M57-J57</f>
        <v>-139.33333333333485</v>
      </c>
      <c r="AF57" s="338">
        <f t="shared" si="9"/>
        <v>0.95355555555555505</v>
      </c>
      <c r="AG57" s="616">
        <f>AF61</f>
        <v>0.96510690943043842</v>
      </c>
    </row>
    <row r="58" spans="1:33" ht="15.75" customHeight="1">
      <c r="A58" s="617" t="s">
        <v>1734</v>
      </c>
      <c r="B58" s="342" t="s">
        <v>27</v>
      </c>
      <c r="C58" s="660" t="s">
        <v>34</v>
      </c>
      <c r="D58" s="660"/>
      <c r="E58" s="27">
        <v>26.78</v>
      </c>
      <c r="F58" s="30">
        <v>2150</v>
      </c>
      <c r="G58" s="333">
        <f t="shared" si="40"/>
        <v>57577</v>
      </c>
      <c r="H58" s="31" t="s">
        <v>40</v>
      </c>
      <c r="I58" s="340">
        <v>10</v>
      </c>
      <c r="J58" s="29">
        <v>3000</v>
      </c>
      <c r="K58" s="12">
        <f t="shared" si="1"/>
        <v>300</v>
      </c>
      <c r="L58" s="340">
        <v>10</v>
      </c>
      <c r="M58" s="13">
        <f t="shared" si="41"/>
        <v>2866.6666666666665</v>
      </c>
      <c r="N58" s="12">
        <f t="shared" si="3"/>
        <v>286.66666666666663</v>
      </c>
      <c r="O58" s="14">
        <f t="shared" si="4"/>
        <v>0</v>
      </c>
      <c r="P58" s="15">
        <f t="shared" si="5"/>
        <v>-13.333333333333371</v>
      </c>
      <c r="Q58" s="338">
        <f t="shared" si="6"/>
        <v>0.95555555555555538</v>
      </c>
      <c r="R58" s="616"/>
      <c r="S58" s="32">
        <v>0.27569444444444446</v>
      </c>
      <c r="T58" s="32">
        <v>0.30694444444444446</v>
      </c>
      <c r="U58" s="333">
        <f t="shared" ref="U58:U60" si="44">(S58-T57)*24*60</f>
        <v>6.9999999999999751</v>
      </c>
      <c r="V58" s="341">
        <f t="shared" si="42"/>
        <v>45</v>
      </c>
      <c r="W58" s="333"/>
      <c r="X58" s="333"/>
      <c r="Y58" s="333"/>
      <c r="Z58" s="333"/>
      <c r="AA58" s="612"/>
      <c r="AB58" s="612"/>
      <c r="AC58" s="18"/>
      <c r="AD58" s="18"/>
      <c r="AE58" s="14">
        <f t="shared" si="43"/>
        <v>-133.33333333333348</v>
      </c>
      <c r="AF58" s="338">
        <f t="shared" si="9"/>
        <v>0.95555555555555549</v>
      </c>
      <c r="AG58" s="616"/>
    </row>
    <row r="59" spans="1:33" ht="15.75" customHeight="1">
      <c r="A59" s="617" t="s">
        <v>1734</v>
      </c>
      <c r="B59" s="342" t="s">
        <v>27</v>
      </c>
      <c r="C59" s="660" t="s">
        <v>36</v>
      </c>
      <c r="D59" s="660"/>
      <c r="E59" s="27">
        <v>34.35</v>
      </c>
      <c r="F59" s="30">
        <v>841</v>
      </c>
      <c r="G59" s="333">
        <f t="shared" si="40"/>
        <v>28888.350000000002</v>
      </c>
      <c r="H59" s="31" t="s">
        <v>40</v>
      </c>
      <c r="I59" s="340">
        <v>8</v>
      </c>
      <c r="J59" s="29">
        <v>3000</v>
      </c>
      <c r="K59" s="12">
        <f t="shared" si="1"/>
        <v>375</v>
      </c>
      <c r="L59" s="340">
        <v>8</v>
      </c>
      <c r="M59" s="13">
        <f t="shared" si="41"/>
        <v>2968.2352941176437</v>
      </c>
      <c r="N59" s="12">
        <f t="shared" si="3"/>
        <v>371.02941176470546</v>
      </c>
      <c r="O59" s="14">
        <f t="shared" si="4"/>
        <v>0</v>
      </c>
      <c r="P59" s="15">
        <f t="shared" si="5"/>
        <v>-3.9705882352945423</v>
      </c>
      <c r="Q59" s="338">
        <f t="shared" si="6"/>
        <v>0.98941176470588121</v>
      </c>
      <c r="R59" s="616"/>
      <c r="S59" s="32">
        <v>0.3125</v>
      </c>
      <c r="T59" s="32">
        <v>0.32430555555555557</v>
      </c>
      <c r="U59" s="333">
        <f t="shared" si="44"/>
        <v>7.9999999999999716</v>
      </c>
      <c r="V59" s="341">
        <f t="shared" si="42"/>
        <v>17.000000000000021</v>
      </c>
      <c r="W59" s="333"/>
      <c r="X59" s="333"/>
      <c r="Y59" s="333"/>
      <c r="Z59" s="333"/>
      <c r="AA59" s="612"/>
      <c r="AB59" s="612"/>
      <c r="AC59" s="18"/>
      <c r="AD59" s="18"/>
      <c r="AE59" s="14">
        <f t="shared" si="43"/>
        <v>-31.764705882356338</v>
      </c>
      <c r="AF59" s="338">
        <f t="shared" si="9"/>
        <v>0.98941176470588121</v>
      </c>
      <c r="AG59" s="616"/>
    </row>
    <row r="60" spans="1:33" ht="15.75" customHeight="1">
      <c r="A60" s="617" t="s">
        <v>1734</v>
      </c>
      <c r="B60" s="342" t="s">
        <v>27</v>
      </c>
      <c r="C60" s="660" t="s">
        <v>737</v>
      </c>
      <c r="D60" s="660"/>
      <c r="E60" s="27">
        <v>36.14</v>
      </c>
      <c r="F60" s="30">
        <v>3030</v>
      </c>
      <c r="G60" s="333">
        <f t="shared" si="40"/>
        <v>109504.2</v>
      </c>
      <c r="H60" s="31" t="s">
        <v>40</v>
      </c>
      <c r="I60" s="340">
        <v>11</v>
      </c>
      <c r="J60" s="29">
        <v>3000</v>
      </c>
      <c r="K60" s="12">
        <f t="shared" si="1"/>
        <v>272.72727272727275</v>
      </c>
      <c r="L60" s="340">
        <v>11</v>
      </c>
      <c r="M60" s="13">
        <f t="shared" si="41"/>
        <v>2885.7142857142853</v>
      </c>
      <c r="N60" s="12">
        <f t="shared" si="3"/>
        <v>262.33766233766232</v>
      </c>
      <c r="O60" s="14">
        <f t="shared" si="4"/>
        <v>0</v>
      </c>
      <c r="P60" s="15">
        <f t="shared" si="5"/>
        <v>-10.389610389610425</v>
      </c>
      <c r="Q60" s="338">
        <f t="shared" si="6"/>
        <v>0.96190476190476182</v>
      </c>
      <c r="R60" s="616"/>
      <c r="S60" s="32">
        <v>0.32777777777777778</v>
      </c>
      <c r="T60" s="32">
        <v>0.37152777777777779</v>
      </c>
      <c r="U60" s="333">
        <f t="shared" si="44"/>
        <v>4.9999999999999822</v>
      </c>
      <c r="V60" s="341">
        <f t="shared" si="42"/>
        <v>63.000000000000014</v>
      </c>
      <c r="W60" s="333"/>
      <c r="X60" s="333"/>
      <c r="Y60" s="333"/>
      <c r="Z60" s="333"/>
      <c r="AA60" s="612"/>
      <c r="AB60" s="612"/>
      <c r="AC60" s="18"/>
      <c r="AD60" s="18"/>
      <c r="AE60" s="14">
        <f t="shared" si="43"/>
        <v>-114.28571428571468</v>
      </c>
      <c r="AF60" s="338">
        <f t="shared" si="9"/>
        <v>0.96190476190476182</v>
      </c>
      <c r="AG60" s="616"/>
    </row>
    <row r="61" spans="1:33">
      <c r="A61" s="618" t="s">
        <v>1734</v>
      </c>
      <c r="B61" s="27" t="s">
        <v>1729</v>
      </c>
      <c r="C61" s="658"/>
      <c r="D61" s="658"/>
      <c r="E61" s="339"/>
      <c r="F61" s="28"/>
      <c r="G61" s="12"/>
      <c r="H61" s="342"/>
      <c r="I61" s="21">
        <v>9.75</v>
      </c>
      <c r="J61" s="29">
        <v>3000</v>
      </c>
      <c r="K61" s="12">
        <f t="shared" si="1"/>
        <v>307.69230769230768</v>
      </c>
      <c r="L61" s="21">
        <v>9.75</v>
      </c>
      <c r="M61" s="13">
        <f>AVERAGE(M57:M60)</f>
        <v>2895.3207282913154</v>
      </c>
      <c r="N61" s="12">
        <f t="shared" si="3"/>
        <v>296.95597213244258</v>
      </c>
      <c r="O61" s="14">
        <f t="shared" si="4"/>
        <v>0</v>
      </c>
      <c r="P61" s="15">
        <f t="shared" si="5"/>
        <v>-10.736335559865097</v>
      </c>
      <c r="Q61" s="338">
        <f t="shared" si="6"/>
        <v>0.96510690943043842</v>
      </c>
      <c r="R61" s="616"/>
      <c r="S61" s="32"/>
      <c r="T61" s="32"/>
      <c r="U61" s="12"/>
      <c r="V61" s="341"/>
      <c r="W61" s="12"/>
      <c r="X61" s="12"/>
      <c r="Y61" s="22">
        <f>SUM(Y57:Y60)</f>
        <v>0</v>
      </c>
      <c r="Z61" s="22">
        <f>SUM(Z57:Z60)</f>
        <v>0</v>
      </c>
      <c r="AA61" s="611"/>
      <c r="AB61" s="611"/>
      <c r="AC61" s="22">
        <v>4</v>
      </c>
      <c r="AD61" s="22">
        <f>SUM(AD57:AD60)</f>
        <v>0</v>
      </c>
      <c r="AE61" s="14">
        <f t="shared" si="43"/>
        <v>-104.67927170868461</v>
      </c>
      <c r="AF61" s="338">
        <f t="shared" si="9"/>
        <v>0.96510690943043842</v>
      </c>
      <c r="AG61" s="616"/>
    </row>
    <row r="62" spans="1:33" ht="15.75" customHeight="1">
      <c r="A62" s="613" t="s">
        <v>73</v>
      </c>
      <c r="B62" s="342" t="s">
        <v>20</v>
      </c>
      <c r="C62" s="660" t="s">
        <v>39</v>
      </c>
      <c r="D62" s="660"/>
      <c r="E62" s="27">
        <v>19.02</v>
      </c>
      <c r="F62" s="342">
        <v>4700</v>
      </c>
      <c r="G62" s="333">
        <f t="shared" ref="G62:G68" si="45">E62*F62</f>
        <v>89394</v>
      </c>
      <c r="H62" s="31">
        <v>2</v>
      </c>
      <c r="I62" s="340">
        <v>14</v>
      </c>
      <c r="J62" s="29">
        <v>2400</v>
      </c>
      <c r="K62" s="12">
        <f t="shared" si="1"/>
        <v>171.42857142857142</v>
      </c>
      <c r="L62" s="340">
        <v>14</v>
      </c>
      <c r="M62" s="13">
        <f t="shared" ref="M62:M68" si="46">F62/V62*60</f>
        <v>2292.6829268292686</v>
      </c>
      <c r="N62" s="12">
        <f t="shared" si="3"/>
        <v>163.76306620209061</v>
      </c>
      <c r="O62" s="14">
        <f t="shared" si="4"/>
        <v>0</v>
      </c>
      <c r="P62" s="15">
        <f t="shared" si="5"/>
        <v>-7.6655052264808035</v>
      </c>
      <c r="Q62" s="338">
        <f t="shared" si="6"/>
        <v>0.9552845528455286</v>
      </c>
      <c r="R62" s="616">
        <f>Q69</f>
        <v>0.95502670543457591</v>
      </c>
      <c r="S62" s="32">
        <v>8.3333333333333329E-2</v>
      </c>
      <c r="T62" s="32">
        <v>0.16874999999999998</v>
      </c>
      <c r="U62" s="20"/>
      <c r="V62" s="341">
        <f t="shared" ref="V62:V68" si="47">(T62-S62)*24*60</f>
        <v>122.99999999999999</v>
      </c>
      <c r="W62" s="16">
        <f>T62</f>
        <v>0.16874999999999998</v>
      </c>
      <c r="X62" s="16">
        <f>S63</f>
        <v>0.18888888888888888</v>
      </c>
      <c r="Y62" s="16"/>
      <c r="Z62" s="16"/>
      <c r="AA62" s="612"/>
      <c r="AB62" s="612"/>
      <c r="AC62" s="18">
        <v>7</v>
      </c>
      <c r="AD62" s="18"/>
      <c r="AE62" s="14">
        <f t="shared" si="43"/>
        <v>-107.31707317073142</v>
      </c>
      <c r="AF62" s="338">
        <f t="shared" si="9"/>
        <v>0.9552845528455286</v>
      </c>
      <c r="AG62" s="616">
        <f>AF69</f>
        <v>0.95502670543457591</v>
      </c>
    </row>
    <row r="63" spans="1:33" ht="15.75" customHeight="1">
      <c r="A63" s="614" t="s">
        <v>1735</v>
      </c>
      <c r="B63" s="342" t="s">
        <v>20</v>
      </c>
      <c r="C63" s="660" t="s">
        <v>24</v>
      </c>
      <c r="D63" s="660"/>
      <c r="E63" s="27">
        <v>20.36</v>
      </c>
      <c r="F63" s="342">
        <v>3423</v>
      </c>
      <c r="G63" s="333">
        <f t="shared" si="45"/>
        <v>69692.28</v>
      </c>
      <c r="H63" s="31" t="s">
        <v>40</v>
      </c>
      <c r="I63" s="340">
        <v>17</v>
      </c>
      <c r="J63" s="29">
        <v>2400</v>
      </c>
      <c r="K63" s="12">
        <f t="shared" si="1"/>
        <v>141.1764705882353</v>
      </c>
      <c r="L63" s="340">
        <v>17</v>
      </c>
      <c r="M63" s="13">
        <f t="shared" si="46"/>
        <v>2282</v>
      </c>
      <c r="N63" s="12">
        <f t="shared" si="3"/>
        <v>134.23529411764707</v>
      </c>
      <c r="O63" s="14">
        <f t="shared" si="4"/>
        <v>0</v>
      </c>
      <c r="P63" s="15">
        <f t="shared" si="5"/>
        <v>-6.941176470588232</v>
      </c>
      <c r="Q63" s="338">
        <f t="shared" si="6"/>
        <v>0.95083333333333331</v>
      </c>
      <c r="R63" s="616"/>
      <c r="S63" s="32">
        <v>0.18888888888888888</v>
      </c>
      <c r="T63" s="32">
        <v>0.25138888888888888</v>
      </c>
      <c r="U63" s="333">
        <f t="shared" ref="U63:U68" si="48">(S63-T62)*24*60</f>
        <v>29.000000000000018</v>
      </c>
      <c r="V63" s="341">
        <f t="shared" si="47"/>
        <v>90</v>
      </c>
      <c r="W63" s="16"/>
      <c r="X63" s="16"/>
      <c r="Y63" s="16"/>
      <c r="Z63" s="16"/>
      <c r="AA63" s="612"/>
      <c r="AB63" s="612"/>
      <c r="AC63" s="18"/>
      <c r="AD63" s="18"/>
      <c r="AE63" s="14">
        <f t="shared" si="43"/>
        <v>-118</v>
      </c>
      <c r="AF63" s="338">
        <f t="shared" si="9"/>
        <v>0.95083333333333331</v>
      </c>
      <c r="AG63" s="616"/>
    </row>
    <row r="64" spans="1:33" ht="15.75" customHeight="1">
      <c r="A64" s="614" t="s">
        <v>1735</v>
      </c>
      <c r="B64" s="342" t="s">
        <v>20</v>
      </c>
      <c r="C64" s="660" t="s">
        <v>80</v>
      </c>
      <c r="D64" s="660"/>
      <c r="E64" s="27">
        <v>25.98</v>
      </c>
      <c r="F64" s="342">
        <v>2930</v>
      </c>
      <c r="G64" s="333">
        <f t="shared" si="45"/>
        <v>76121.399999999994</v>
      </c>
      <c r="H64" s="31" t="s">
        <v>40</v>
      </c>
      <c r="I64" s="340">
        <v>17</v>
      </c>
      <c r="J64" s="29">
        <v>2400</v>
      </c>
      <c r="K64" s="12">
        <f t="shared" si="1"/>
        <v>141.1764705882353</v>
      </c>
      <c r="L64" s="340">
        <v>17</v>
      </c>
      <c r="M64" s="13">
        <f t="shared" si="46"/>
        <v>2283.116883116882</v>
      </c>
      <c r="N64" s="12">
        <f t="shared" si="3"/>
        <v>134.30099312452248</v>
      </c>
      <c r="O64" s="14">
        <f t="shared" si="4"/>
        <v>0</v>
      </c>
      <c r="P64" s="15">
        <f t="shared" si="5"/>
        <v>-6.8754774637128264</v>
      </c>
      <c r="Q64" s="338">
        <f t="shared" si="6"/>
        <v>0.95129870129870087</v>
      </c>
      <c r="R64" s="616"/>
      <c r="S64" s="32">
        <v>0.25555555555555554</v>
      </c>
      <c r="T64" s="32">
        <v>0.30902777777777779</v>
      </c>
      <c r="U64" s="333">
        <f t="shared" si="48"/>
        <v>5.9999999999999787</v>
      </c>
      <c r="V64" s="341">
        <f t="shared" si="47"/>
        <v>77.000000000000043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-116.88311688311796</v>
      </c>
      <c r="AF64" s="338">
        <f t="shared" si="9"/>
        <v>0.95129870129870087</v>
      </c>
      <c r="AG64" s="616"/>
    </row>
    <row r="65" spans="1:33" ht="15.75" customHeight="1">
      <c r="A65" s="614" t="s">
        <v>1735</v>
      </c>
      <c r="B65" s="342" t="s">
        <v>20</v>
      </c>
      <c r="C65" s="660" t="s">
        <v>739</v>
      </c>
      <c r="D65" s="660"/>
      <c r="E65" s="27">
        <v>28.29</v>
      </c>
      <c r="F65" s="342">
        <v>4979</v>
      </c>
      <c r="G65" s="333">
        <f t="shared" si="45"/>
        <v>140855.91</v>
      </c>
      <c r="H65" s="31" t="s">
        <v>40</v>
      </c>
      <c r="I65" s="340">
        <v>21</v>
      </c>
      <c r="J65" s="29">
        <v>2400</v>
      </c>
      <c r="K65" s="12">
        <f t="shared" si="1"/>
        <v>114.28571428571429</v>
      </c>
      <c r="L65" s="340">
        <v>21</v>
      </c>
      <c r="M65" s="13">
        <f t="shared" si="46"/>
        <v>2297.9999999999995</v>
      </c>
      <c r="N65" s="12">
        <f t="shared" si="3"/>
        <v>109.4285714285714</v>
      </c>
      <c r="O65" s="14">
        <f t="shared" si="4"/>
        <v>0</v>
      </c>
      <c r="P65" s="15">
        <f t="shared" si="5"/>
        <v>-4.8571428571428896</v>
      </c>
      <c r="Q65" s="338">
        <f t="shared" si="6"/>
        <v>0.95749999999999968</v>
      </c>
      <c r="R65" s="616"/>
      <c r="S65" s="32">
        <v>0.31388888888888888</v>
      </c>
      <c r="T65" s="32">
        <v>0.40416666666666667</v>
      </c>
      <c r="U65" s="333">
        <f t="shared" si="48"/>
        <v>6.9999999999999751</v>
      </c>
      <c r="V65" s="341">
        <f t="shared" si="47"/>
        <v>130.00000000000003</v>
      </c>
      <c r="W65" s="16"/>
      <c r="X65" s="16"/>
      <c r="Y65" s="16"/>
      <c r="Z65" s="16"/>
      <c r="AA65" s="612"/>
      <c r="AB65" s="612"/>
      <c r="AC65" s="18"/>
      <c r="AD65" s="18"/>
      <c r="AE65" s="14">
        <f t="shared" si="43"/>
        <v>-102.00000000000045</v>
      </c>
      <c r="AF65" s="338">
        <f t="shared" si="9"/>
        <v>0.9574999999999998</v>
      </c>
      <c r="AG65" s="616"/>
    </row>
    <row r="66" spans="1:33" ht="15.75" customHeight="1">
      <c r="A66" s="614" t="s">
        <v>1735</v>
      </c>
      <c r="B66" s="342" t="s">
        <v>20</v>
      </c>
      <c r="C66" s="660" t="s">
        <v>1420</v>
      </c>
      <c r="D66" s="660"/>
      <c r="E66" s="27">
        <v>24.25</v>
      </c>
      <c r="F66" s="342">
        <v>4600</v>
      </c>
      <c r="G66" s="333">
        <f t="shared" si="45"/>
        <v>111550</v>
      </c>
      <c r="H66" s="31">
        <v>2</v>
      </c>
      <c r="I66" s="340">
        <v>17</v>
      </c>
      <c r="J66" s="29">
        <v>2400</v>
      </c>
      <c r="K66" s="12">
        <f t="shared" si="1"/>
        <v>141.1764705882353</v>
      </c>
      <c r="L66" s="340">
        <v>17</v>
      </c>
      <c r="M66" s="13">
        <f t="shared" si="46"/>
        <v>2300.0000000000005</v>
      </c>
      <c r="N66" s="12">
        <f t="shared" si="3"/>
        <v>135.29411764705884</v>
      </c>
      <c r="O66" s="14">
        <f t="shared" si="4"/>
        <v>0</v>
      </c>
      <c r="P66" s="15">
        <f t="shared" si="5"/>
        <v>-5.8823529411764639</v>
      </c>
      <c r="Q66" s="338">
        <f t="shared" si="6"/>
        <v>0.95833333333333337</v>
      </c>
      <c r="R66" s="616"/>
      <c r="S66" s="32">
        <v>0.40972222222222221</v>
      </c>
      <c r="T66" s="32">
        <v>0.49305555555555552</v>
      </c>
      <c r="U66" s="333">
        <f t="shared" si="48"/>
        <v>7.9999999999999716</v>
      </c>
      <c r="V66" s="341">
        <f t="shared" si="47"/>
        <v>119.99999999999997</v>
      </c>
      <c r="W66" s="16">
        <f>T66</f>
        <v>0.49305555555555552</v>
      </c>
      <c r="X66" s="16">
        <f>S67</f>
        <v>0.53263888888888888</v>
      </c>
      <c r="Y66" s="16"/>
      <c r="Z66" s="16"/>
      <c r="AA66" s="612"/>
      <c r="AB66" s="612"/>
      <c r="AC66" s="18"/>
      <c r="AD66" s="18"/>
      <c r="AE66" s="14">
        <f t="shared" si="43"/>
        <v>-99.999999999999545</v>
      </c>
      <c r="AF66" s="338">
        <f t="shared" si="9"/>
        <v>0.95833333333333348</v>
      </c>
      <c r="AG66" s="616"/>
    </row>
    <row r="67" spans="1:33" ht="15.75" customHeight="1">
      <c r="A67" s="614" t="s">
        <v>1735</v>
      </c>
      <c r="B67" s="342" t="s">
        <v>20</v>
      </c>
      <c r="C67" s="660" t="s">
        <v>39</v>
      </c>
      <c r="D67" s="660"/>
      <c r="E67" s="27">
        <v>19.02</v>
      </c>
      <c r="F67" s="342">
        <v>3772</v>
      </c>
      <c r="G67" s="333">
        <f t="shared" si="45"/>
        <v>71743.44</v>
      </c>
      <c r="H67" s="31" t="s">
        <v>40</v>
      </c>
      <c r="I67" s="340">
        <v>14</v>
      </c>
      <c r="J67" s="29">
        <v>2400</v>
      </c>
      <c r="K67" s="12">
        <f t="shared" si="1"/>
        <v>171.42857142857142</v>
      </c>
      <c r="L67" s="340">
        <v>14</v>
      </c>
      <c r="M67" s="13">
        <f t="shared" si="46"/>
        <v>2286.0606060606065</v>
      </c>
      <c r="N67" s="12">
        <f t="shared" si="3"/>
        <v>163.29004329004331</v>
      </c>
      <c r="O67" s="14">
        <f t="shared" si="4"/>
        <v>0</v>
      </c>
      <c r="P67" s="15">
        <f t="shared" si="5"/>
        <v>-8.1385281385281019</v>
      </c>
      <c r="Q67" s="338">
        <f t="shared" si="6"/>
        <v>0.95252525252525277</v>
      </c>
      <c r="R67" s="616"/>
      <c r="S67" s="32">
        <v>0.53263888888888888</v>
      </c>
      <c r="T67" s="32">
        <v>0.60138888888888886</v>
      </c>
      <c r="U67" s="333">
        <f t="shared" si="48"/>
        <v>57.000000000000036</v>
      </c>
      <c r="V67" s="341">
        <f t="shared" si="47"/>
        <v>98.999999999999972</v>
      </c>
      <c r="W67" s="16"/>
      <c r="X67" s="16"/>
      <c r="Y67" s="16"/>
      <c r="Z67" s="16"/>
      <c r="AA67" s="612"/>
      <c r="AB67" s="612"/>
      <c r="AC67" s="18"/>
      <c r="AD67" s="18"/>
      <c r="AE67" s="14">
        <f t="shared" si="43"/>
        <v>-113.93939393939354</v>
      </c>
      <c r="AF67" s="338">
        <f t="shared" si="9"/>
        <v>0.95252525252525266</v>
      </c>
      <c r="AG67" s="616"/>
    </row>
    <row r="68" spans="1:33" ht="15.75" customHeight="1">
      <c r="A68" s="614" t="s">
        <v>1735</v>
      </c>
      <c r="B68" s="342" t="s">
        <v>20</v>
      </c>
      <c r="C68" s="605" t="s">
        <v>1420</v>
      </c>
      <c r="D68" s="606"/>
      <c r="E68" s="27">
        <v>24.25</v>
      </c>
      <c r="F68" s="342">
        <v>3262</v>
      </c>
      <c r="G68" s="333">
        <f t="shared" si="45"/>
        <v>79103.5</v>
      </c>
      <c r="H68" s="31" t="s">
        <v>40</v>
      </c>
      <c r="I68" s="340">
        <v>17</v>
      </c>
      <c r="J68" s="29">
        <v>2400</v>
      </c>
      <c r="K68" s="12">
        <f t="shared" si="1"/>
        <v>141.1764705882353</v>
      </c>
      <c r="L68" s="340">
        <v>17</v>
      </c>
      <c r="M68" s="13">
        <f t="shared" si="46"/>
        <v>2302.5882352941171</v>
      </c>
      <c r="N68" s="12">
        <f t="shared" si="3"/>
        <v>135.44636678200689</v>
      </c>
      <c r="O68" s="14">
        <f t="shared" si="4"/>
        <v>0</v>
      </c>
      <c r="P68" s="15">
        <f t="shared" si="5"/>
        <v>-5.7301038062284135</v>
      </c>
      <c r="Q68" s="338">
        <f t="shared" si="6"/>
        <v>0.95941176470588208</v>
      </c>
      <c r="R68" s="616"/>
      <c r="S68" s="32">
        <v>0.60555555555555551</v>
      </c>
      <c r="T68" s="32">
        <v>0.6645833333333333</v>
      </c>
      <c r="U68" s="333">
        <f t="shared" si="48"/>
        <v>5.9999999999999787</v>
      </c>
      <c r="V68" s="341">
        <f t="shared" si="47"/>
        <v>85.000000000000014</v>
      </c>
      <c r="W68" s="16"/>
      <c r="X68" s="16"/>
      <c r="Y68" s="19"/>
      <c r="Z68" s="19"/>
      <c r="AA68" s="607"/>
      <c r="AB68" s="608"/>
      <c r="AC68" s="18"/>
      <c r="AD68" s="18"/>
      <c r="AE68" s="14">
        <f t="shared" si="43"/>
        <v>-97.411764705882888</v>
      </c>
      <c r="AF68" s="338">
        <f t="shared" si="9"/>
        <v>0.95941176470588208</v>
      </c>
      <c r="AG68" s="616"/>
    </row>
    <row r="69" spans="1:33" ht="16.5" customHeight="1">
      <c r="A69" s="615" t="s">
        <v>1735</v>
      </c>
      <c r="B69" s="27" t="s">
        <v>1729</v>
      </c>
      <c r="C69" s="609"/>
      <c r="D69" s="610"/>
      <c r="E69" s="339"/>
      <c r="F69" s="28"/>
      <c r="G69" s="12"/>
      <c r="H69" s="342"/>
      <c r="I69" s="21">
        <v>16.714285714285715</v>
      </c>
      <c r="J69" s="29">
        <v>2400</v>
      </c>
      <c r="K69" s="12">
        <f t="shared" ref="K69" si="49">J69/I69</f>
        <v>143.58974358974359</v>
      </c>
      <c r="L69" s="21">
        <v>16.714285714285715</v>
      </c>
      <c r="M69" s="13">
        <f>AVERAGE(M62:M68)</f>
        <v>2292.0640930429822</v>
      </c>
      <c r="N69" s="12">
        <f t="shared" ref="N69" si="50">M69/L69</f>
        <v>137.13203975470833</v>
      </c>
      <c r="O69" s="14">
        <f t="shared" ref="O69" si="51">L69-I69</f>
        <v>0</v>
      </c>
      <c r="P69" s="15">
        <f t="shared" ref="P69" si="52">N69-K69</f>
        <v>-6.4577038350352609</v>
      </c>
      <c r="Q69" s="338">
        <f t="shared" ref="Q69" si="53">N69/K69</f>
        <v>0.95502670543457591</v>
      </c>
      <c r="R69" s="616"/>
      <c r="S69" s="32"/>
      <c r="T69" s="32"/>
      <c r="U69" s="12"/>
      <c r="V69" s="341"/>
      <c r="W69" s="12"/>
      <c r="X69" s="12"/>
      <c r="Y69" s="22">
        <f>SUM(Y62:Y68)</f>
        <v>0</v>
      </c>
      <c r="Z69" s="22">
        <f>SUM(Z62:Z68)</f>
        <v>0</v>
      </c>
      <c r="AA69" s="611"/>
      <c r="AB69" s="611"/>
      <c r="AC69" s="22">
        <v>7</v>
      </c>
      <c r="AD69" s="22">
        <f>SUM(AD62:AD68)</f>
        <v>0</v>
      </c>
      <c r="AE69" s="14">
        <f t="shared" si="43"/>
        <v>-107.93590695701778</v>
      </c>
      <c r="AF69" s="338">
        <f t="shared" ref="AF69" si="54">M69/J69</f>
        <v>0.95502670543457591</v>
      </c>
      <c r="AG69" s="616"/>
    </row>
    <row r="70" spans="1:33">
      <c r="D70" s="23"/>
      <c r="E70" s="23"/>
    </row>
  </sheetData>
  <mergeCells count="187">
    <mergeCell ref="A62:A69"/>
    <mergeCell ref="C62:D62"/>
    <mergeCell ref="R62:R69"/>
    <mergeCell ref="AA62:AB62"/>
    <mergeCell ref="AG62:AG69"/>
    <mergeCell ref="C63:D63"/>
    <mergeCell ref="AA63:AB63"/>
    <mergeCell ref="C64:D64"/>
    <mergeCell ref="AA64:AB64"/>
    <mergeCell ref="C65:D65"/>
    <mergeCell ref="C69:D69"/>
    <mergeCell ref="AA69:AB69"/>
    <mergeCell ref="AA65:AB65"/>
    <mergeCell ref="C66:D66"/>
    <mergeCell ref="AA66:AB66"/>
    <mergeCell ref="C67:D67"/>
    <mergeCell ref="AA67:AB67"/>
    <mergeCell ref="C68:D68"/>
    <mergeCell ref="AA68:AB68"/>
    <mergeCell ref="A57:A61"/>
    <mergeCell ref="C57:D57"/>
    <mergeCell ref="R57:R61"/>
    <mergeCell ref="AA57:AB57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G57:AG61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A48:A56"/>
    <mergeCell ref="C48:D48"/>
    <mergeCell ref="R48:R56"/>
    <mergeCell ref="AA48:AB48"/>
    <mergeCell ref="AA54:AB54"/>
    <mergeCell ref="C55:D55"/>
    <mergeCell ref="AA55:AB55"/>
    <mergeCell ref="A43:A47"/>
    <mergeCell ref="C43:D43"/>
    <mergeCell ref="R43:R47"/>
    <mergeCell ref="AA43:AB43"/>
    <mergeCell ref="C56:D56"/>
    <mergeCell ref="AA56:AB56"/>
    <mergeCell ref="AG43:AG47"/>
    <mergeCell ref="C44:D44"/>
    <mergeCell ref="AA44:AB44"/>
    <mergeCell ref="C45:D45"/>
    <mergeCell ref="AA45:AB45"/>
    <mergeCell ref="C46:D46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29:A35"/>
    <mergeCell ref="C29:D29"/>
    <mergeCell ref="R29:R35"/>
    <mergeCell ref="AA29:AB29"/>
    <mergeCell ref="AA34:AB34"/>
    <mergeCell ref="C35:D35"/>
    <mergeCell ref="AA35:AB35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1:D21"/>
    <mergeCell ref="AA21:AB21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</mergeCells>
  <phoneticPr fontId="3" type="noConversion"/>
  <conditionalFormatting sqref="O60:O67 O56:O57 O69 O5:O8 O13:O15 O21:O53">
    <cfRule type="cellIs" dxfId="1200" priority="56" operator="greaterThan">
      <formula>0</formula>
    </cfRule>
  </conditionalFormatting>
  <conditionalFormatting sqref="P5:P6 P60 AE60 P62:P67 P29:P34 P57 P8 P13:P15 P22:P27 P48:P53 P36:P46 AE5:AE57 AE62:AE69">
    <cfRule type="cellIs" dxfId="1199" priority="60" operator="lessThan">
      <formula>0</formula>
    </cfRule>
  </conditionalFormatting>
  <conditionalFormatting sqref="AF60 Q60:Q67 Q56:Q57 Q69 Q5:Q8 Q13:Q15 Q21:Q53 AF5:AF57 AF62:AF69">
    <cfRule type="cellIs" dxfId="1198" priority="57" operator="greaterThan">
      <formula>1</formula>
    </cfRule>
    <cfRule type="cellIs" dxfId="1197" priority="58" operator="lessThan">
      <formula>0.8</formula>
    </cfRule>
  </conditionalFormatting>
  <conditionalFormatting sqref="AG14:AG15 R14:R15 AG60 R60:R67 AG56:AG57 R56:R57 R69 AG5:AG8 R5:R8 AG21:AG53 R21:R53">
    <cfRule type="cellIs" dxfId="1196" priority="62" operator="lessThan">
      <formula>0.8</formula>
    </cfRule>
  </conditionalFormatting>
  <conditionalFormatting sqref="AG43">
    <cfRule type="cellIs" dxfId="1195" priority="64" operator="lessThan">
      <formula>0.8</formula>
    </cfRule>
  </conditionalFormatting>
  <conditionalFormatting sqref="AG22:AG27">
    <cfRule type="cellIs" dxfId="1194" priority="61" operator="lessThan">
      <formula>0.8</formula>
    </cfRule>
  </conditionalFormatting>
  <conditionalFormatting sqref="AG29">
    <cfRule type="cellIs" dxfId="1193" priority="63" operator="lessThan">
      <formula>0.8</formula>
    </cfRule>
  </conditionalFormatting>
  <conditionalFormatting sqref="AG36:AG41">
    <cfRule type="cellIs" dxfId="1192" priority="59" operator="lessThan">
      <formula>0.8</formula>
    </cfRule>
  </conditionalFormatting>
  <conditionalFormatting sqref="AE61">
    <cfRule type="cellIs" dxfId="1191" priority="55" operator="lessThan">
      <formula>0</formula>
    </cfRule>
  </conditionalFormatting>
  <conditionalFormatting sqref="AF61">
    <cfRule type="cellIs" dxfId="1190" priority="53" operator="greaterThan">
      <formula>1</formula>
    </cfRule>
    <cfRule type="cellIs" dxfId="1189" priority="54" operator="lessThan">
      <formula>0.8</formula>
    </cfRule>
  </conditionalFormatting>
  <conditionalFormatting sqref="O16:O17">
    <cfRule type="cellIs" dxfId="1188" priority="48" operator="greaterThan">
      <formula>0</formula>
    </cfRule>
  </conditionalFormatting>
  <conditionalFormatting sqref="P16:P17">
    <cfRule type="cellIs" dxfId="1187" priority="51" operator="lessThan">
      <formula>0</formula>
    </cfRule>
  </conditionalFormatting>
  <conditionalFormatting sqref="Q16:Q17">
    <cfRule type="cellIs" dxfId="1186" priority="49" operator="greaterThan">
      <formula>1</formula>
    </cfRule>
    <cfRule type="cellIs" dxfId="1185" priority="50" operator="lessThan">
      <formula>0.8</formula>
    </cfRule>
  </conditionalFormatting>
  <conditionalFormatting sqref="R16:R17 AG16:AG17">
    <cfRule type="cellIs" dxfId="1184" priority="52" operator="lessThan">
      <formula>0.8</formula>
    </cfRule>
  </conditionalFormatting>
  <conditionalFormatting sqref="O9:O12">
    <cfRule type="cellIs" dxfId="1183" priority="44" operator="greaterThan">
      <formula>0</formula>
    </cfRule>
  </conditionalFormatting>
  <conditionalFormatting sqref="P9:P12">
    <cfRule type="cellIs" dxfId="1182" priority="47" operator="lessThan">
      <formula>0</formula>
    </cfRule>
  </conditionalFormatting>
  <conditionalFormatting sqref="Q9:Q12">
    <cfRule type="cellIs" dxfId="1181" priority="45" operator="greaterThan">
      <formula>1</formula>
    </cfRule>
    <cfRule type="cellIs" dxfId="1180" priority="46" operator="lessThan">
      <formula>0.8</formula>
    </cfRule>
  </conditionalFormatting>
  <conditionalFormatting sqref="O54">
    <cfRule type="cellIs" dxfId="1179" priority="39" operator="greaterThan">
      <formula>0</formula>
    </cfRule>
  </conditionalFormatting>
  <conditionalFormatting sqref="P54">
    <cfRule type="cellIs" dxfId="1178" priority="42" operator="lessThan">
      <formula>0</formula>
    </cfRule>
  </conditionalFormatting>
  <conditionalFormatting sqref="Q54">
    <cfRule type="cellIs" dxfId="1177" priority="40" operator="greaterThan">
      <formula>1</formula>
    </cfRule>
    <cfRule type="cellIs" dxfId="1176" priority="41" operator="lessThan">
      <formula>0.8</formula>
    </cfRule>
  </conditionalFormatting>
  <conditionalFormatting sqref="R54 AG54">
    <cfRule type="cellIs" dxfId="1175" priority="43" operator="lessThan">
      <formula>0.8</formula>
    </cfRule>
  </conditionalFormatting>
  <conditionalFormatting sqref="O59">
    <cfRule type="cellIs" dxfId="1174" priority="34" operator="greaterThan">
      <formula>0</formula>
    </cfRule>
  </conditionalFormatting>
  <conditionalFormatting sqref="P59 AE59">
    <cfRule type="cellIs" dxfId="1173" priority="37" operator="lessThan">
      <formula>0</formula>
    </cfRule>
  </conditionalFormatting>
  <conditionalFormatting sqref="Q59 AF59">
    <cfRule type="cellIs" dxfId="1172" priority="35" operator="greaterThan">
      <formula>1</formula>
    </cfRule>
    <cfRule type="cellIs" dxfId="1171" priority="36" operator="lessThan">
      <formula>0.8</formula>
    </cfRule>
  </conditionalFormatting>
  <conditionalFormatting sqref="R59 AG59">
    <cfRule type="cellIs" dxfId="1170" priority="38" operator="lessThan">
      <formula>0.8</formula>
    </cfRule>
  </conditionalFormatting>
  <conditionalFormatting sqref="O68">
    <cfRule type="cellIs" dxfId="1169" priority="29" operator="greaterThan">
      <formula>0</formula>
    </cfRule>
  </conditionalFormatting>
  <conditionalFormatting sqref="P68">
    <cfRule type="cellIs" dxfId="1168" priority="32" operator="lessThan">
      <formula>0</formula>
    </cfRule>
  </conditionalFormatting>
  <conditionalFormatting sqref="Q68">
    <cfRule type="cellIs" dxfId="1167" priority="30" operator="greaterThan">
      <formula>1</formula>
    </cfRule>
    <cfRule type="cellIs" dxfId="1166" priority="31" operator="lessThan">
      <formula>0.8</formula>
    </cfRule>
  </conditionalFormatting>
  <conditionalFormatting sqref="R68">
    <cfRule type="cellIs" dxfId="1165" priority="33" operator="lessThan">
      <formula>0.8</formula>
    </cfRule>
  </conditionalFormatting>
  <conditionalFormatting sqref="O18:O19">
    <cfRule type="cellIs" dxfId="1164" priority="24" operator="greaterThan">
      <formula>0</formula>
    </cfRule>
  </conditionalFormatting>
  <conditionalFormatting sqref="P18:P19">
    <cfRule type="cellIs" dxfId="1163" priority="27" operator="lessThan">
      <formula>0</formula>
    </cfRule>
  </conditionalFormatting>
  <conditionalFormatting sqref="Q18:Q19">
    <cfRule type="cellIs" dxfId="1162" priority="25" operator="greaterThan">
      <formula>1</formula>
    </cfRule>
    <cfRule type="cellIs" dxfId="1161" priority="26" operator="lessThan">
      <formula>0.8</formula>
    </cfRule>
  </conditionalFormatting>
  <conditionalFormatting sqref="R18:R19 AG18:AG19">
    <cfRule type="cellIs" dxfId="1160" priority="28" operator="lessThan">
      <formula>0.8</formula>
    </cfRule>
  </conditionalFormatting>
  <conditionalFormatting sqref="O55">
    <cfRule type="cellIs" dxfId="1159" priority="19" operator="greaterThan">
      <formula>0</formula>
    </cfRule>
  </conditionalFormatting>
  <conditionalFormatting sqref="P55">
    <cfRule type="cellIs" dxfId="1158" priority="22" operator="lessThan">
      <formula>0</formula>
    </cfRule>
  </conditionalFormatting>
  <conditionalFormatting sqref="Q55">
    <cfRule type="cellIs" dxfId="1157" priority="20" operator="greaterThan">
      <formula>1</formula>
    </cfRule>
    <cfRule type="cellIs" dxfId="1156" priority="21" operator="lessThan">
      <formula>0.8</formula>
    </cfRule>
  </conditionalFormatting>
  <conditionalFormatting sqref="AG55 R55">
    <cfRule type="cellIs" dxfId="1155" priority="23" operator="lessThan">
      <formula>0.8</formula>
    </cfRule>
  </conditionalFormatting>
  <conditionalFormatting sqref="O58">
    <cfRule type="cellIs" dxfId="1154" priority="14" operator="greaterThan">
      <formula>0</formula>
    </cfRule>
  </conditionalFormatting>
  <conditionalFormatting sqref="P58 AE58">
    <cfRule type="cellIs" dxfId="1153" priority="17" operator="lessThan">
      <formula>0</formula>
    </cfRule>
  </conditionalFormatting>
  <conditionalFormatting sqref="Q58 AF58">
    <cfRule type="cellIs" dxfId="1152" priority="15" operator="greaterThan">
      <formula>1</formula>
    </cfRule>
    <cfRule type="cellIs" dxfId="1151" priority="16" operator="lessThan">
      <formula>0.8</formula>
    </cfRule>
  </conditionalFormatting>
  <conditionalFormatting sqref="R58 AG58">
    <cfRule type="cellIs" dxfId="1150" priority="18" operator="lessThan">
      <formula>0.8</formula>
    </cfRule>
  </conditionalFormatting>
  <conditionalFormatting sqref="O20">
    <cfRule type="cellIs" dxfId="1149" priority="9" operator="greaterThan">
      <formula>0</formula>
    </cfRule>
  </conditionalFormatting>
  <conditionalFormatting sqref="P20">
    <cfRule type="cellIs" dxfId="1148" priority="12" operator="lessThan">
      <formula>0</formula>
    </cfRule>
  </conditionalFormatting>
  <conditionalFormatting sqref="Q20">
    <cfRule type="cellIs" dxfId="1147" priority="10" operator="greaterThan">
      <formula>1</formula>
    </cfRule>
    <cfRule type="cellIs" dxfId="1146" priority="11" operator="lessThan">
      <formula>0.8</formula>
    </cfRule>
  </conditionalFormatting>
  <conditionalFormatting sqref="AG20 R20">
    <cfRule type="cellIs" dxfId="1145" priority="13" operator="lessThan">
      <formula>0.8</formula>
    </cfRule>
  </conditionalFormatting>
  <conditionalFormatting sqref="P7">
    <cfRule type="cellIs" dxfId="1144" priority="8" operator="lessThan">
      <formula>0</formula>
    </cfRule>
  </conditionalFormatting>
  <conditionalFormatting sqref="P21">
    <cfRule type="cellIs" dxfId="1143" priority="7" operator="lessThan">
      <formula>0</formula>
    </cfRule>
  </conditionalFormatting>
  <conditionalFormatting sqref="P28">
    <cfRule type="cellIs" dxfId="1142" priority="6" operator="lessThan">
      <formula>0</formula>
    </cfRule>
  </conditionalFormatting>
  <conditionalFormatting sqref="P35">
    <cfRule type="cellIs" dxfId="1141" priority="5" operator="lessThan">
      <formula>0</formula>
    </cfRule>
  </conditionalFormatting>
  <conditionalFormatting sqref="P47">
    <cfRule type="cellIs" dxfId="1140" priority="4" operator="lessThan">
      <formula>0</formula>
    </cfRule>
  </conditionalFormatting>
  <conditionalFormatting sqref="P56">
    <cfRule type="cellIs" dxfId="1139" priority="3" operator="lessThan">
      <formula>0</formula>
    </cfRule>
  </conditionalFormatting>
  <conditionalFormatting sqref="P61">
    <cfRule type="cellIs" dxfId="1138" priority="2" operator="lessThan">
      <formula>0</formula>
    </cfRule>
  </conditionalFormatting>
  <conditionalFormatting sqref="P69">
    <cfRule type="cellIs" dxfId="1137" priority="1" operator="lessThan">
      <formula>0</formula>
    </cfRule>
  </conditionalFormatting>
  <dataValidations count="1">
    <dataValidation type="list" allowBlank="1" showInputMessage="1" showErrorMessage="1" sqref="AB7 AA5:AB6 AA7:AA60 AB9:AB57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C68" sqref="AC6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1557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1558</v>
      </c>
      <c r="C3" s="594" t="str">
        <f>TEXT('0717 4度C'!A2,"yyyy.mm.ddaaaa")</f>
        <v>2026.07.17星期五</v>
      </c>
      <c r="D3" s="595"/>
      <c r="E3" s="36" t="s">
        <v>1559</v>
      </c>
      <c r="F3" s="596">
        <f>'0717 4度C'!D1</f>
        <v>145090</v>
      </c>
      <c r="G3" s="597"/>
      <c r="H3" s="36" t="s">
        <v>1560</v>
      </c>
      <c r="I3" s="598">
        <f>'0717 4度C'!F1</f>
        <v>4974084.4700000007</v>
      </c>
      <c r="J3" s="599"/>
      <c r="K3" s="37"/>
      <c r="L3" s="38"/>
      <c r="M3" s="39"/>
      <c r="N3" s="39"/>
    </row>
    <row r="4" spans="2:17" ht="28.5" customHeight="1">
      <c r="B4" s="600" t="s">
        <v>1561</v>
      </c>
      <c r="C4" s="586" t="s">
        <v>1562</v>
      </c>
      <c r="D4" s="587"/>
      <c r="E4" s="603" t="s">
        <v>1563</v>
      </c>
      <c r="F4" s="604"/>
      <c r="G4" s="603" t="s">
        <v>383</v>
      </c>
      <c r="H4" s="604"/>
      <c r="I4" s="603" t="s">
        <v>1564</v>
      </c>
      <c r="J4" s="604"/>
      <c r="K4" s="584" t="s">
        <v>1565</v>
      </c>
      <c r="L4" s="585"/>
      <c r="M4" s="585" t="s">
        <v>1566</v>
      </c>
      <c r="N4" s="585"/>
    </row>
    <row r="5" spans="2:17" ht="28.5" customHeight="1">
      <c r="B5" s="601"/>
      <c r="C5" s="586" t="s">
        <v>1567</v>
      </c>
      <c r="D5" s="587"/>
      <c r="E5" s="586" t="s">
        <v>1568</v>
      </c>
      <c r="F5" s="587"/>
      <c r="G5" s="588" t="s">
        <v>1569</v>
      </c>
      <c r="H5" s="589"/>
      <c r="I5" s="590" t="s">
        <v>1570</v>
      </c>
      <c r="J5" s="591"/>
      <c r="K5" s="40" t="s">
        <v>1571</v>
      </c>
      <c r="L5" s="41" t="s">
        <v>1572</v>
      </c>
      <c r="M5" s="40" t="s">
        <v>1573</v>
      </c>
      <c r="N5" s="41" t="s">
        <v>1574</v>
      </c>
    </row>
    <row r="6" spans="2:17" ht="28.5" customHeight="1">
      <c r="B6" s="601"/>
      <c r="C6" s="586" t="s">
        <v>41</v>
      </c>
      <c r="D6" s="587"/>
      <c r="E6" s="578">
        <f>AVERAGE(D13:M13)</f>
        <v>158.2192115764081</v>
      </c>
      <c r="F6" s="579">
        <f>AVERAGE(D31:O31,D13:J13)</f>
        <v>166.81310605015514</v>
      </c>
      <c r="G6" s="580">
        <f>AVERAGE(D13:J13)</f>
        <v>166.81310605015514</v>
      </c>
      <c r="H6" s="581"/>
      <c r="I6" s="580">
        <f>AVERAGE(K13:M13)</f>
        <v>138.16679113766494</v>
      </c>
      <c r="J6" s="581"/>
      <c r="K6" s="582">
        <f>'0717 4度C'!Y2</f>
        <v>0</v>
      </c>
      <c r="L6" s="567">
        <f>'0717 4度C'!Z2</f>
        <v>0</v>
      </c>
      <c r="M6" s="583">
        <f>'0717 4度C'!AC2</f>
        <v>54</v>
      </c>
      <c r="N6" s="567">
        <f>'0717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151.59888416026314</v>
      </c>
      <c r="F7" s="571">
        <f>AVERAGE(D32:O32,D14:J14)</f>
        <v>159.96013366613533</v>
      </c>
      <c r="G7" s="572">
        <f>AVERAGE(D14:J14)</f>
        <v>159.96013366613533</v>
      </c>
      <c r="H7" s="573"/>
      <c r="I7" s="572">
        <f>AVERAGE(K14:M14)</f>
        <v>132.08930197989469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0.95792335443508203</v>
      </c>
      <c r="F8" s="575">
        <f>AVERAGE(D15:J15,D33:O33)</f>
        <v>0.95875853303500647</v>
      </c>
      <c r="G8" s="576">
        <f>AVERAGE(D15:J15)</f>
        <v>0.95875853303500647</v>
      </c>
      <c r="H8" s="577"/>
      <c r="I8" s="576">
        <f>AVERAGE(K15:M15)</f>
        <v>0.95597460436859205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1575</v>
      </c>
      <c r="N9" s="39"/>
      <c r="O9" s="39"/>
      <c r="P9" s="39"/>
      <c r="Q9" s="39"/>
    </row>
    <row r="10" spans="2:17" ht="30" customHeight="1">
      <c r="B10" s="550" t="s">
        <v>103</v>
      </c>
      <c r="C10" s="551"/>
      <c r="D10" s="552" t="s">
        <v>1576</v>
      </c>
      <c r="E10" s="553"/>
      <c r="F10" s="553"/>
      <c r="G10" s="553"/>
      <c r="H10" s="553"/>
      <c r="I10" s="553"/>
      <c r="J10" s="554"/>
      <c r="K10" s="555" t="s">
        <v>1577</v>
      </c>
      <c r="L10" s="556"/>
      <c r="M10" s="557"/>
      <c r="P10" s="45"/>
      <c r="Q10" s="45"/>
    </row>
    <row r="11" spans="2:17" ht="17.25" customHeight="1">
      <c r="B11" s="558" t="s">
        <v>1578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1579</v>
      </c>
      <c r="C13" s="52" t="s">
        <v>1580</v>
      </c>
      <c r="D13" s="53">
        <f>SUMIFS('0717 4度C'!$K:$K,'0717 4度C'!$A:$A,"新豐6線",'0717 4度C'!$B:$B,"平均")</f>
        <v>129.03225806451613</v>
      </c>
      <c r="E13" s="54">
        <f>SUMIFS('0717 4度C'!$K:$K,'0717 4度C'!$A:$A,"新豐2線",'0717 4度C'!$B:$B,"平均")</f>
        <v>86.206896551724142</v>
      </c>
      <c r="F13" s="55">
        <f>SUMIFS('0717 4度C'!$K:$K,'0717 4度C'!$A:$A,"新豐5線",'0717 4度C'!$B:$B,"平均")</f>
        <v>93.75</v>
      </c>
      <c r="G13" s="55">
        <f>SUMIFS('0717 4度C'!$K:$K,'0717 4度C'!$A:$A,"新豐7線",'0717 4度C'!$B:$B,"平均")</f>
        <v>129.03225806451613</v>
      </c>
      <c r="H13" s="55">
        <f>SUMIFS('0717 4度C'!$K:$K,'0717 4度C'!$A:$A,"新豐3線",'0717 4度C'!$B:$B,"平均")</f>
        <v>307.69230769230768</v>
      </c>
      <c r="I13" s="55">
        <f>SUMIFS('0717 4度C'!$K:$K,'0717 4度C'!$A:$A,"新豐1線",'0717 4度C'!$B:$B,"平均")</f>
        <v>114.28571428571429</v>
      </c>
      <c r="J13" s="56">
        <f>SUMIFS('0717 4度C'!$K:$K,'0717 4度C'!$A:$A,"新豐10線",'0717 4度C'!$B:$B,"平均")</f>
        <v>307.69230769230768</v>
      </c>
      <c r="K13" s="57">
        <f>SUMIFS('0717 4度C'!$K:$K,'0717 4度C'!$A:$A,"新豐8線",'0717 4度C'!$B:$B,"平均")</f>
        <v>138.46153846153848</v>
      </c>
      <c r="L13" s="58">
        <f>SUMIFS('0717 4度C'!$K:$K,'0717 4度C'!$A:$A,"新豐9線",'0717 4度C'!$B:$B,"平均")</f>
        <v>132.03883495145629</v>
      </c>
      <c r="M13" s="56">
        <f>SUMIFS('0717 4度C'!$K:$K,'0717 4度C'!$A:$A,"新豐4線",'0717 4度C'!$B:$B,"平均")</f>
        <v>144</v>
      </c>
    </row>
    <row r="14" spans="2:17" ht="39.6" customHeight="1">
      <c r="B14" s="563"/>
      <c r="C14" s="59" t="s">
        <v>1581</v>
      </c>
      <c r="D14" s="60">
        <f>SUMIFS('0717 4度C'!$N:$N,'0717 4度C'!$A:$A,"新豐6線",'0717 4度C'!$B:$B,"平均")</f>
        <v>123.93657736468025</v>
      </c>
      <c r="E14" s="61">
        <f>SUMIFS('0717 4度C'!$N:$N,'0717 4度C'!$A:$A,"新豐2線",'0717 4度C'!$B:$B,"平均")</f>
        <v>82.458681716512714</v>
      </c>
      <c r="F14" s="61">
        <f>SUMIFS('0717 4度C'!$N:$N,'0717 4度C'!$A:$A,"新豐5線",'0717 4度C'!$B:$B,"平均")</f>
        <v>89.596635795380323</v>
      </c>
      <c r="G14" s="61">
        <f>SUMIFS('0717 4度C'!$N:$N,'0717 4度C'!$A:$A,"新豐7線",'0717 4度C'!$B:$B,"平均")</f>
        <v>124.01060935570416</v>
      </c>
      <c r="H14" s="61">
        <f>SUMIFS('0717 4度C'!$N:$N,'0717 4度C'!$A:$A,"新豐3線",'0717 4度C'!$B:$B,"平均")</f>
        <v>294.47089583046647</v>
      </c>
      <c r="I14" s="61">
        <f>SUMIFS('0717 4度C'!$N:$N,'0717 4度C'!$A:$A,"新豐1線",'0717 4度C'!$B:$B,"平均")</f>
        <v>109.711995566688</v>
      </c>
      <c r="J14" s="62">
        <f>SUMIFS('0717 4度C'!$N:$N,'0717 4度C'!$A:$A,"新豐10線",'0717 4度C'!$B:$B,"平均")</f>
        <v>295.53554003351559</v>
      </c>
      <c r="K14" s="63">
        <f>SUMIFS('0717 4度C'!$N:$N,'0717 4度C'!$A:$A,"新豐8線",'0717 4度C'!$B:$B,"平均")</f>
        <v>132.46267866756949</v>
      </c>
      <c r="L14" s="64">
        <f>SUMIFS('0717 4度C'!$N:$N,'0717 4度C'!$A:$A,"新豐9線",'0717 4度C'!$B:$B,"平均")</f>
        <v>126.0055013080289</v>
      </c>
      <c r="M14" s="62">
        <f>SUMIFS('0717 4度C'!$N:$N,'0717 4度C'!$A:$A,"新豐4線",'0717 4度C'!$B:$B,"平均")</f>
        <v>137.79972596408564</v>
      </c>
    </row>
    <row r="15" spans="2:17" ht="40.15" customHeight="1">
      <c r="B15" s="564"/>
      <c r="C15" s="65" t="s">
        <v>1582</v>
      </c>
      <c r="D15" s="66">
        <f t="shared" ref="D15:M15" si="0">D14/D13</f>
        <v>0.96050847457627186</v>
      </c>
      <c r="E15" s="67">
        <f t="shared" si="0"/>
        <v>0.95652070791154742</v>
      </c>
      <c r="F15" s="67">
        <f t="shared" si="0"/>
        <v>0.9556974484840568</v>
      </c>
      <c r="G15" s="67">
        <f t="shared" si="0"/>
        <v>0.96108222250670727</v>
      </c>
      <c r="H15" s="67">
        <f t="shared" si="0"/>
        <v>0.95703041144901613</v>
      </c>
      <c r="I15" s="67">
        <f t="shared" si="0"/>
        <v>0.95997996120852003</v>
      </c>
      <c r="J15" s="68">
        <f t="shared" si="0"/>
        <v>0.96049050510892575</v>
      </c>
      <c r="K15" s="66">
        <f t="shared" si="0"/>
        <v>0.95667490148800172</v>
      </c>
      <c r="L15" s="67">
        <f t="shared" si="0"/>
        <v>0.95430637020051312</v>
      </c>
      <c r="M15" s="68">
        <f t="shared" si="0"/>
        <v>0.95694254141726143</v>
      </c>
    </row>
    <row r="16" spans="2:17" ht="17.25" customHeight="1">
      <c r="B16" s="565" t="s">
        <v>1583</v>
      </c>
      <c r="C16" s="69" t="s">
        <v>1584</v>
      </c>
      <c r="D16" s="70">
        <f>VLOOKUP("新豐6線",'0717 4度C'!$A:$T,19,0)</f>
        <v>0.70833333333333337</v>
      </c>
      <c r="E16" s="71">
        <f>VLOOKUP("新豐2線",'0717 4度C'!$A:$T,19,0)</f>
        <v>8.3333333333333329E-2</v>
      </c>
      <c r="F16" s="71">
        <f>VLOOKUP("新豐5線",'0717 4度C'!$A:$T,19,0)</f>
        <v>8.3333333333333329E-2</v>
      </c>
      <c r="G16" s="71">
        <f>VLOOKUP("新豐7線",'0717 4度C'!$A:$T,19,0)</f>
        <v>0.20833333333333334</v>
      </c>
      <c r="H16" s="71">
        <f>VLOOKUP("新豐3線",'0717 4度C'!$A:$T,19,0)</f>
        <v>0.20833333333333334</v>
      </c>
      <c r="I16" s="71">
        <f>VLOOKUP("新豐1線",'0717 4度C'!$A:$T,19,0)</f>
        <v>0.20833333333333334</v>
      </c>
      <c r="J16" s="72">
        <f>VLOOKUP("新豐10線",'0717 4度C'!$A:$T,19,0)</f>
        <v>0.20833333333333334</v>
      </c>
      <c r="K16" s="73">
        <f>VLOOKUP("新豐8線",'0717 4度C'!$A:$T,19,0)</f>
        <v>8.3333333333333329E-2</v>
      </c>
      <c r="L16" s="74">
        <f>VLOOKUP("新豐9線",'0717 4度C'!$A:$T,19,0)</f>
        <v>8.3333333333333329E-2</v>
      </c>
      <c r="M16" s="75">
        <f>VLOOKUP("新豐4線",'0717 4度C'!$A:$T,19,0)</f>
        <v>8.3333333333333329E-2</v>
      </c>
    </row>
    <row r="17" spans="2:13" ht="17.25" customHeight="1">
      <c r="B17" s="566"/>
      <c r="C17" s="69" t="s">
        <v>1585</v>
      </c>
      <c r="D17" s="73">
        <f>LOOKUP(2,1/(('0717 4度C'!$A:$A="新豐6線")*('0717 4度C'!$T:$T&lt;&gt;"")),'0717 4度C'!$T:$T)</f>
        <v>0.7944444444444444</v>
      </c>
      <c r="E17" s="71">
        <f>LOOKUP(2,1/(('0717 4度C'!$A:$A="新豐2線")*('0717 4度C'!$T:$T&lt;&gt;"")),'0717 4度C'!$T:$T)</f>
        <v>0.58194444444444438</v>
      </c>
      <c r="F17" s="71">
        <f>LOOKUP(2,1/(('0717 4度C'!$A:$A="新豐5線")*('0717 4度C'!$T:$T&lt;&gt;"")),'0717 4度C'!$T:$T)</f>
        <v>0.81388888888888888</v>
      </c>
      <c r="G17" s="71">
        <f>LOOKUP(2,1/(('0717 4度C'!$A:$A="新豐7線")*('0717 4度C'!$T:$T&lt;&gt;"")),'0717 4度C'!$T:$T)</f>
        <v>0.82847222222222228</v>
      </c>
      <c r="H17" s="71">
        <f>LOOKUP(2,1/(('0717 4度C'!$A:$A="新豐3線")*('0717 4度C'!$T:$T&lt;&gt;"")),'0717 4度C'!$T:$T)</f>
        <v>0.40347222222222223</v>
      </c>
      <c r="I17" s="71">
        <f>LOOKUP(2,1/(('0717 4度C'!$A:$A="新豐1線")*('0717 4度C'!$T:$T&lt;&gt;"")),'0717 4度C'!$T:$T)</f>
        <v>0.82152777777777786</v>
      </c>
      <c r="J17" s="72">
        <f>LOOKUP(2,1/(('0717 4度C'!$A:$A="新豐10線")*('0717 4度C'!$T:$T&lt;&gt;"")),'0717 4度C'!$T:$T)</f>
        <v>0.3611111111111111</v>
      </c>
      <c r="K17" s="70">
        <f>LOOKUP(2,1/(('0717 4度C'!$A:$A="新豐8線")*('0717 4度C'!$T:$T&lt;&gt;"")),'0717 4度C'!$T:$T)</f>
        <v>0.55208333333333326</v>
      </c>
      <c r="L17" s="71">
        <f>LOOKUP(2,1/(('0717 4度C'!$A:$A="新豐9線")*('0717 4度C'!$T:$T&lt;&gt;"")),'0717 4度C'!$T:$T)</f>
        <v>0.56874999999999987</v>
      </c>
      <c r="M17" s="72">
        <f>LOOKUP(2,1/(('0717 4度C'!$A:$A="新豐4線")*('0717 4度C'!$T:$T&lt;&gt;"")),'0717 4度C'!$T:$T)</f>
        <v>0.60763888888888873</v>
      </c>
    </row>
    <row r="18" spans="2:13" ht="17.25" customHeight="1">
      <c r="B18" s="544" t="s">
        <v>1586</v>
      </c>
      <c r="C18" s="76" t="s">
        <v>116</v>
      </c>
      <c r="D18" s="77">
        <f>SUMIFS('0717 4度C'!$Y:$Y,'0717 4度C'!$A:$A,"新豐6線",'0717 4度C'!$B:$B,"平均")</f>
        <v>0</v>
      </c>
      <c r="E18" s="78">
        <f>SUMIFS('0717 4度C'!$Y:$Y,'0717 4度C'!$A:$A,"新豐2線",'0717 4度C'!$B:$B,"平均")</f>
        <v>0</v>
      </c>
      <c r="F18" s="78">
        <f>SUMIFS('0717 4度C'!$Y:$Y,'0717 4度C'!$A:$A,"新豐5線",'0717 4度C'!$B:$B,"平均")</f>
        <v>0</v>
      </c>
      <c r="G18" s="78">
        <f>SUMIFS('0717 4度C'!$Y:$Y,'0717 4度C'!$A:$A,"新豐7線",'0717 4度C'!$B:$B,"平均")</f>
        <v>0</v>
      </c>
      <c r="H18" s="78">
        <f>SUMIFS('0717 4度C'!$Y:$Y,'0717 4度C'!$A:$A,"新豐3線",'0717 4度C'!$B:$B,"平均")</f>
        <v>0</v>
      </c>
      <c r="I18" s="78">
        <f>SUMIFS('0717 4度C'!$Y:$Y,'0717 4度C'!$A:$A,"新豐1線",'0717 4度C'!$B:$B,"平均")</f>
        <v>0</v>
      </c>
      <c r="J18" s="79">
        <f>SUMIFS('0717 4度C'!$Y:$Y,'0717 4度C'!$A:$A,"新豐10線",'0717 4度C'!$B:$B,"平均")</f>
        <v>0</v>
      </c>
      <c r="K18" s="80">
        <f>SUMIFS('0717 4度C'!$Y:$Y,'0717 4度C'!$A:$A,"新豐8線",'0717 4度C'!$B:$B,"平均")</f>
        <v>0</v>
      </c>
      <c r="L18" s="78">
        <f>SUMIFS('0717 4度C'!$Y:$Y,'0717 4度C'!$A:$A,"新豐9線",'0717 4度C'!$B:$B,"平均")</f>
        <v>0</v>
      </c>
      <c r="M18" s="79">
        <f>SUMIFS('0717 4度C'!$Y:$Y,'0717 4度C'!$A:$A,"新豐4線",'0717 4度C'!$B:$B,"平均")</f>
        <v>0</v>
      </c>
    </row>
    <row r="19" spans="2:13" ht="17.25" customHeight="1">
      <c r="B19" s="545"/>
      <c r="C19" s="76" t="s">
        <v>1587</v>
      </c>
      <c r="D19" s="77">
        <f>SUMIFS('0717 4度C'!$Z:$Z,'0717 4度C'!$A:$A,"新豐6線",'0717 4度C'!$B:$B,"平均")</f>
        <v>0</v>
      </c>
      <c r="E19" s="78">
        <f>SUMIFS('0717 4度C'!$Z:$Z,'0717 4度C'!$A:$A,"新豐2線",'0717 4度C'!$B:$B,"平均")</f>
        <v>0</v>
      </c>
      <c r="F19" s="78">
        <f>SUMIFS('0717 4度C'!$Z:$Z,'0717 4度C'!$A:$A,"新豐5線",'0717 4度C'!$B:$B,"平均")</f>
        <v>0</v>
      </c>
      <c r="G19" s="78">
        <f>SUMIFS('0717 4度C'!$Z:$Z,'0717 4度C'!$A:$A,"新豐7線",'0717 4度C'!$B:$B,"平均")</f>
        <v>0</v>
      </c>
      <c r="H19" s="78">
        <f>SUMIFS('0717 4度C'!$Z:$Z,'0717 4度C'!$A:$A,"新豐3線",'0717 4度C'!$B:$B,"平均")</f>
        <v>0</v>
      </c>
      <c r="I19" s="78">
        <f>SUMIFS('0717 4度C'!$Z:$Z,'0717 4度C'!$A:$A,"新豐1線",'0717 4度C'!$B:$B,"平均")</f>
        <v>0</v>
      </c>
      <c r="J19" s="79">
        <f>SUMIFS('0717 4度C'!$Z:$Z,'0717 4度C'!$A:$A,"新豐10線",'0717 4度C'!$B:$B,"平均")</f>
        <v>0</v>
      </c>
      <c r="K19" s="80">
        <f>SUMIFS('0717 4度C'!$Z:$Z,'0717 4度C'!$A:$A,"新豐8線",'0717 4度C'!$B:$B,"平均")</f>
        <v>0</v>
      </c>
      <c r="L19" s="78">
        <f>SUMIFS('0717 4度C'!$Z:$Z,'0717 4度C'!$A:$A,"新豐9線",'0717 4度C'!$B:$B,"平均")</f>
        <v>0</v>
      </c>
      <c r="M19" s="79">
        <f>SUMIFS('0717 4度C'!$Z:$Z,'0717 4度C'!$A:$A,"新豐4線",'0717 4度C'!$B:$B,"平均")</f>
        <v>0</v>
      </c>
    </row>
    <row r="20" spans="2:13" ht="17.25" customHeight="1">
      <c r="B20" s="544" t="s">
        <v>1588</v>
      </c>
      <c r="C20" s="76" t="s">
        <v>1589</v>
      </c>
      <c r="D20" s="77">
        <f>SUMIFS('0717 4度C'!$AC:$AC,'0717 4度C'!$A:$A,"新豐6線",'0717 4度C'!$B:$B,"平均")</f>
        <v>2</v>
      </c>
      <c r="E20" s="78">
        <f>SUMIFS('0717 4度C'!$AC:$AC,'0717 4度C'!$A:$A,"新豐2線",'0717 4度C'!$B:$B,"平均")</f>
        <v>5</v>
      </c>
      <c r="F20" s="78">
        <f>SUMIFS('0717 4度C'!$AC:$AC,'0717 4度C'!$A:$A,"新豐5線",'0717 4度C'!$B:$B,"平均")</f>
        <v>7</v>
      </c>
      <c r="G20" s="78">
        <f>SUMIFS('0717 4度C'!$AC:$AC,'0717 4度C'!$A:$A,"新豐7線",'0717 4度C'!$B:$B,"平均")</f>
        <v>6</v>
      </c>
      <c r="H20" s="78">
        <f>SUMIFS('0717 4度C'!$AC:$AC,'0717 4度C'!$A:$A,"新豐3線",'0717 4度C'!$B:$B,"平均")</f>
        <v>4</v>
      </c>
      <c r="I20" s="78">
        <f>SUMIFS('0717 4度C'!$AC:$AC,'0717 4度C'!$A:$A,"新豐1線",'0717 4度C'!$B:$B,"平均")</f>
        <v>8</v>
      </c>
      <c r="J20" s="79">
        <f>SUMIFS('0717 4度C'!$AC:$AC,'0717 4度C'!$A:$A,"新豐10線",'0717 4度C'!$B:$B,"平均")</f>
        <v>4</v>
      </c>
      <c r="K20" s="80">
        <f>SUMIFS('0717 4度C'!$AC:$AC,'0717 4度C'!$A:$A,"新豐8線",'0717 4度C'!$B:$B,"平均")</f>
        <v>6</v>
      </c>
      <c r="L20" s="78">
        <f>SUMIFS('0717 4度C'!$AC:$AC,'0717 4度C'!$A:$A,"新豐9線",'0717 4度C'!$B:$B,"平均")</f>
        <v>6</v>
      </c>
      <c r="M20" s="79">
        <f>SUMIFS('0717 4度C'!$AC:$AC,'0717 4度C'!$A:$A,"新豐4線",'0717 4度C'!$B:$B,"平均")</f>
        <v>6</v>
      </c>
    </row>
    <row r="21" spans="2:13" ht="17.25" customHeight="1">
      <c r="B21" s="545"/>
      <c r="C21" s="76" t="s">
        <v>117</v>
      </c>
      <c r="D21" s="77">
        <f>SUMIFS('0717 4度C'!$AD:$AD,'0717 4度C'!$A:$A,"新豐6線",'0717 4度C'!$B:$B,"平均")</f>
        <v>0</v>
      </c>
      <c r="E21" s="78">
        <f>SUMIFS('0717 4度C'!$AD:$AD,'0717 4度C'!$A:$A,"新豐2線",'0717 4度C'!$B:$B,"平均")</f>
        <v>0</v>
      </c>
      <c r="F21" s="78">
        <f>SUMIFS('0717 4度C'!$AD:$AD,'0717 4度C'!$A:$A,"新豐5線",'0717 4度C'!$B:$B,"平均")</f>
        <v>0</v>
      </c>
      <c r="G21" s="78">
        <f>SUMIFS('0717 4度C'!$AD:$AD,'0717 4度C'!$A:$A,"新豐7線",'0717 4度C'!$B:$B,"平均")</f>
        <v>0</v>
      </c>
      <c r="H21" s="78">
        <f>SUMIFS('0717 4度C'!$AD:$AD,'0717 4度C'!$A:$A,"新豐3線",'0717 4度C'!$B:$B,"平均")</f>
        <v>0</v>
      </c>
      <c r="I21" s="78">
        <f>SUMIFS('0717 4度C'!$AD:$AD,'0717 4度C'!$A:$A,"新豐1線",'0717 4度C'!$B:$B,"平均")</f>
        <v>0</v>
      </c>
      <c r="J21" s="79">
        <f>SUMIFS('0717 4度C'!$AD:$AD,'0717 4度C'!$A:$A,"新豐10線",'0717 4度C'!$B:$B,"平均")</f>
        <v>0</v>
      </c>
      <c r="K21" s="80">
        <f>SUMIFS('0717 4度C'!$AD:$AD,'0717 4度C'!$A:$A,"新豐8線",'0717 4度C'!$B:$B,"平均")</f>
        <v>0</v>
      </c>
      <c r="L21" s="78">
        <f>SUMIFS('0717 4度C'!$AD:$AD,'0717 4度C'!$A:$A,"新豐9線",'0717 4度C'!$B:$B,"平均")</f>
        <v>0</v>
      </c>
      <c r="M21" s="79">
        <f>SUMIFS('0717 4度C'!$AD:$AD,'0717 4度C'!$A:$A,"新豐4線",'0717 4度C'!$B:$B,"平均")</f>
        <v>0</v>
      </c>
    </row>
    <row r="22" spans="2:13" ht="17.25" customHeight="1">
      <c r="B22" s="546" t="s">
        <v>1590</v>
      </c>
      <c r="C22" s="547"/>
      <c r="D22" s="81">
        <f>SUMIFS('0717 4度C'!$I:$I,'0717 4度C'!$A:$A,"新豐6線",'0717 4度C'!$B:$B,"平均")</f>
        <v>15.5</v>
      </c>
      <c r="E22" s="82">
        <f>SUMIFS('0717 4度C'!$I:$I,'0717 4度C'!$A:$A,"新豐2線",'0717 4度C'!$B:$B,"平均")</f>
        <v>17.399999999999999</v>
      </c>
      <c r="F22" s="82">
        <f>SUMIFS('0717 4度C'!$I:$I,'0717 4度C'!$A:$A,"新豐5線",'0717 4度C'!$B:$B,"平均")</f>
        <v>18.285714285714285</v>
      </c>
      <c r="G22" s="82">
        <f>SUMIFS('0717 4度C'!$I:$I,'0717 4度C'!$A:$A,"新豐7線",'0717 4度C'!$B:$B,"平均")</f>
        <v>15.5</v>
      </c>
      <c r="H22" s="82">
        <f>SUMIFS('0717 4度C'!$I:$I,'0717 4度C'!$A:$A,"新豐3線",'0717 4度C'!$B:$B,"平均")</f>
        <v>9.75</v>
      </c>
      <c r="I22" s="82">
        <f>SUMIFS('0717 4度C'!$I:$I,'0717 4度C'!$A:$A,"新豐1線",'0717 4度C'!$B:$B,"平均")</f>
        <v>17.5</v>
      </c>
      <c r="J22" s="83">
        <f>SUMIFS('0717 4度C'!$I:$I,'0717 4度C'!$A:$A,"新豐10線",'0717 4度C'!$B:$B,"平均")</f>
        <v>9.75</v>
      </c>
      <c r="K22" s="81">
        <f>SUMIFS('0717 4度C'!$I:$I,'0717 4度C'!$A:$A,"新豐8線",'0717 4度C'!$B:$B,"平均")</f>
        <v>17.333333333333332</v>
      </c>
      <c r="L22" s="82">
        <f>SUMIFS('0717 4度C'!$I:$I,'0717 4度C'!$A:$A,"新豐9線",'0717 4度C'!$B:$B,"平均")</f>
        <v>17.166666666666668</v>
      </c>
      <c r="M22" s="83">
        <f>SUMIFS('0717 4度C'!$I:$I,'0717 4度C'!$A:$A,"新豐4線",'0717 4度C'!$B:$B,"平均")</f>
        <v>16.666666666666668</v>
      </c>
    </row>
    <row r="23" spans="2:13" ht="17.25" customHeight="1">
      <c r="B23" s="546" t="s">
        <v>1591</v>
      </c>
      <c r="C23" s="547"/>
      <c r="D23" s="84" t="s">
        <v>54</v>
      </c>
      <c r="E23" s="85" t="s">
        <v>55</v>
      </c>
      <c r="F23" s="85" t="s">
        <v>1592</v>
      </c>
      <c r="G23" s="85" t="s">
        <v>1592</v>
      </c>
      <c r="H23" s="85" t="s">
        <v>56</v>
      </c>
      <c r="I23" s="85" t="s">
        <v>54</v>
      </c>
      <c r="J23" s="86" t="s">
        <v>56</v>
      </c>
      <c r="K23" s="84" t="s">
        <v>1593</v>
      </c>
      <c r="L23" s="85" t="s">
        <v>1594</v>
      </c>
      <c r="M23" s="86" t="s">
        <v>1595</v>
      </c>
    </row>
    <row r="24" spans="2:13" ht="17.25" customHeight="1">
      <c r="B24" s="546" t="s">
        <v>1596</v>
      </c>
      <c r="C24" s="547"/>
      <c r="D24" s="84"/>
      <c r="E24" s="85"/>
      <c r="F24" s="85" t="s">
        <v>1597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1598</v>
      </c>
      <c r="C25" s="549"/>
      <c r="D25" s="87"/>
      <c r="E25" s="88" t="s">
        <v>417</v>
      </c>
      <c r="F25" s="542" t="s">
        <v>1599</v>
      </c>
      <c r="G25" s="543"/>
      <c r="H25" s="88" t="s">
        <v>1600</v>
      </c>
      <c r="I25" s="88" t="s">
        <v>1601</v>
      </c>
      <c r="J25" s="89" t="s">
        <v>1600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J38" sqref="J38"/>
      <selection pane="bottomLeft" activeCell="AC68" sqref="AC68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1602</v>
      </c>
      <c r="B1" s="1"/>
      <c r="C1" s="2" t="s">
        <v>1084</v>
      </c>
      <c r="D1" s="3">
        <f>SUM(F5:F68)</f>
        <v>145090</v>
      </c>
      <c r="E1" s="322" t="s">
        <v>1603</v>
      </c>
      <c r="F1" s="1">
        <f>SUM(G5:G68)</f>
        <v>4974084.4700000007</v>
      </c>
      <c r="G1" s="1" t="s">
        <v>1604</v>
      </c>
      <c r="H1" s="4">
        <f>L7+L13+L47+L56+L21+L61+L35+L42+L28+L68</f>
        <v>154.85238095238094</v>
      </c>
      <c r="I1" s="654" t="s">
        <v>337</v>
      </c>
      <c r="J1" s="654"/>
      <c r="K1" s="654"/>
      <c r="L1" s="654" t="s">
        <v>1605</v>
      </c>
      <c r="M1" s="654"/>
      <c r="N1" s="654"/>
      <c r="O1" s="654" t="s">
        <v>339</v>
      </c>
      <c r="P1" s="654"/>
      <c r="Q1" s="654"/>
      <c r="R1" s="654"/>
      <c r="S1" s="654" t="s">
        <v>1606</v>
      </c>
      <c r="T1" s="654"/>
      <c r="U1" s="654"/>
      <c r="V1" s="654"/>
      <c r="W1" s="654"/>
      <c r="X1" s="654"/>
      <c r="Y1" s="5" t="s">
        <v>341</v>
      </c>
      <c r="Z1" s="6" t="s">
        <v>1607</v>
      </c>
      <c r="AA1" s="655" t="s">
        <v>1608</v>
      </c>
      <c r="AB1" s="655"/>
      <c r="AC1" s="134" t="s">
        <v>1609</v>
      </c>
      <c r="AD1" s="6" t="s">
        <v>1610</v>
      </c>
      <c r="AE1" s="654" t="s">
        <v>1611</v>
      </c>
      <c r="AF1" s="656"/>
      <c r="AG1" s="656"/>
    </row>
    <row r="2" spans="1:33" ht="26.25" customHeight="1">
      <c r="A2" s="25">
        <v>46220</v>
      </c>
      <c r="B2" s="26" t="s">
        <v>346</v>
      </c>
      <c r="C2" s="2" t="s">
        <v>1579</v>
      </c>
      <c r="D2" s="8">
        <f>AVERAGE(N7,N13,N47,N56,N21,N61,N28,N35,N42,N68)</f>
        <v>151.59888416026314</v>
      </c>
      <c r="E2" s="9" t="s">
        <v>0</v>
      </c>
      <c r="F2" s="10">
        <f>F1/D1</f>
        <v>34.282751878144602</v>
      </c>
      <c r="G2" s="1" t="s">
        <v>1612</v>
      </c>
      <c r="H2" s="330">
        <f>COUNT(H5:H68)</f>
        <v>4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SUM(Y7+Y13+Y21+Y28+Y35+Y42+Y47+Y56+Y61+Y68)</f>
        <v>0</v>
      </c>
      <c r="Z2" s="11">
        <f>SUM(Z7+Z13+Z21+Z28+Z35+Z42+Z47+Z56+Z61+Z68)</f>
        <v>0</v>
      </c>
      <c r="AA2" s="655"/>
      <c r="AB2" s="655"/>
      <c r="AC2" s="135">
        <v>54</v>
      </c>
      <c r="AD2" s="11">
        <f>SUM(AD7+AD13+AD21+AD28+AD35+AD42+AD47+AD56+AD61+AD68)</f>
        <v>0</v>
      </c>
      <c r="AE2" s="656"/>
      <c r="AF2" s="656"/>
      <c r="AG2" s="656"/>
    </row>
    <row r="3" spans="1:33" ht="40.5" customHeight="1">
      <c r="A3" s="612" t="s">
        <v>1613</v>
      </c>
      <c r="B3" s="612" t="s">
        <v>1614</v>
      </c>
      <c r="C3" s="612" t="s">
        <v>1615</v>
      </c>
      <c r="D3" s="612"/>
      <c r="E3" s="652" t="s">
        <v>1616</v>
      </c>
      <c r="F3" s="612" t="s">
        <v>352</v>
      </c>
      <c r="G3" s="652" t="s">
        <v>1617</v>
      </c>
      <c r="H3" s="645" t="s">
        <v>1618</v>
      </c>
      <c r="I3" s="644" t="s">
        <v>1619</v>
      </c>
      <c r="J3" s="641" t="s">
        <v>1620</v>
      </c>
      <c r="K3" s="650" t="s">
        <v>1621</v>
      </c>
      <c r="L3" s="644" t="s">
        <v>1619</v>
      </c>
      <c r="M3" s="641" t="s">
        <v>1622</v>
      </c>
      <c r="N3" s="650" t="s">
        <v>1621</v>
      </c>
      <c r="O3" s="644" t="s">
        <v>796</v>
      </c>
      <c r="P3" s="650" t="s">
        <v>1579</v>
      </c>
      <c r="Q3" s="642" t="s">
        <v>799</v>
      </c>
      <c r="R3" s="621" t="s">
        <v>1623</v>
      </c>
      <c r="S3" s="651" t="s">
        <v>1</v>
      </c>
      <c r="T3" s="651"/>
      <c r="U3" s="645" t="s">
        <v>2</v>
      </c>
      <c r="V3" s="645" t="s">
        <v>1624</v>
      </c>
      <c r="W3" s="612" t="s">
        <v>359</v>
      </c>
      <c r="X3" s="612"/>
      <c r="Y3" s="646" t="s">
        <v>1625</v>
      </c>
      <c r="Z3" s="611"/>
      <c r="AA3" s="647" t="s">
        <v>1626</v>
      </c>
      <c r="AB3" s="648"/>
      <c r="AC3" s="646" t="s">
        <v>362</v>
      </c>
      <c r="AD3" s="611"/>
      <c r="AE3" s="641" t="s">
        <v>1627</v>
      </c>
      <c r="AF3" s="642" t="s">
        <v>1628</v>
      </c>
      <c r="AG3" s="621" t="s">
        <v>1629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29" t="s">
        <v>3</v>
      </c>
      <c r="T4" s="329" t="s">
        <v>4</v>
      </c>
      <c r="U4" s="645"/>
      <c r="V4" s="645"/>
      <c r="W4" s="322" t="s">
        <v>363</v>
      </c>
      <c r="X4" s="322" t="s">
        <v>1630</v>
      </c>
      <c r="Y4" s="321" t="s">
        <v>116</v>
      </c>
      <c r="Z4" s="321" t="s">
        <v>115</v>
      </c>
      <c r="AA4" s="649"/>
      <c r="AB4" s="648"/>
      <c r="AC4" s="321" t="s">
        <v>1631</v>
      </c>
      <c r="AD4" s="321" t="s">
        <v>1632</v>
      </c>
      <c r="AE4" s="641"/>
      <c r="AF4" s="642"/>
      <c r="AG4" s="621"/>
    </row>
    <row r="5" spans="1:33">
      <c r="A5" s="643" t="s">
        <v>810</v>
      </c>
      <c r="B5" s="27" t="s">
        <v>5</v>
      </c>
      <c r="C5" s="657" t="s">
        <v>14</v>
      </c>
      <c r="D5" s="657"/>
      <c r="E5" s="27">
        <v>50.92</v>
      </c>
      <c r="F5" s="329">
        <v>1891</v>
      </c>
      <c r="G5" s="322">
        <f t="shared" ref="G5:G6" si="0">E5*F5</f>
        <v>96289.72</v>
      </c>
      <c r="H5" s="31" t="s">
        <v>40</v>
      </c>
      <c r="I5" s="327">
        <v>15</v>
      </c>
      <c r="J5" s="29">
        <v>2000</v>
      </c>
      <c r="K5" s="12">
        <f t="shared" ref="K5:K68" si="1">J5/I5</f>
        <v>133.33333333333334</v>
      </c>
      <c r="L5" s="327">
        <v>15</v>
      </c>
      <c r="M5" s="13">
        <f t="shared" ref="M5:M6" si="2">F5/V5*60</f>
        <v>1923.0508474576286</v>
      </c>
      <c r="N5" s="12">
        <f t="shared" ref="N5:N68" si="3">M5/L5</f>
        <v>128.20338983050857</v>
      </c>
      <c r="O5" s="14">
        <f t="shared" ref="O5:O68" si="4">L5-I5</f>
        <v>0</v>
      </c>
      <c r="P5" s="15">
        <f t="shared" ref="P5:P68" si="5">N5-K5</f>
        <v>-5.1299435028247728</v>
      </c>
      <c r="Q5" s="323">
        <f t="shared" ref="Q5:Q68" si="6">N5/K5</f>
        <v>0.96152542372881422</v>
      </c>
      <c r="R5" s="616">
        <f>Q7</f>
        <v>0.96050847457627186</v>
      </c>
      <c r="S5" s="32">
        <v>0.70833333333333337</v>
      </c>
      <c r="T5" s="32">
        <v>0.74930555555555556</v>
      </c>
      <c r="U5" s="322"/>
      <c r="V5" s="328">
        <f t="shared" ref="V5:V6" si="7">(T5-S5)*24*60</f>
        <v>58.99999999999995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5" si="8">M5-J5</f>
        <v>-76.949152542371394</v>
      </c>
      <c r="AF5" s="323">
        <f t="shared" ref="AF5:AF68" si="9">M5/J5</f>
        <v>0.96152542372881433</v>
      </c>
      <c r="AG5" s="616">
        <f>AF7</f>
        <v>0.96050847457627198</v>
      </c>
    </row>
    <row r="6" spans="1:33">
      <c r="A6" s="644" t="s">
        <v>1633</v>
      </c>
      <c r="B6" s="27" t="s">
        <v>5</v>
      </c>
      <c r="C6" s="657" t="s">
        <v>19</v>
      </c>
      <c r="D6" s="657"/>
      <c r="E6" s="27">
        <v>50.98</v>
      </c>
      <c r="F6" s="329">
        <v>1887</v>
      </c>
      <c r="G6" s="322">
        <f t="shared" si="0"/>
        <v>96199.26</v>
      </c>
      <c r="H6" s="31" t="s">
        <v>40</v>
      </c>
      <c r="I6" s="327">
        <v>16</v>
      </c>
      <c r="J6" s="29">
        <v>2000</v>
      </c>
      <c r="K6" s="12">
        <f t="shared" si="1"/>
        <v>125</v>
      </c>
      <c r="L6" s="327">
        <v>16</v>
      </c>
      <c r="M6" s="13">
        <f t="shared" si="2"/>
        <v>1918.9830508474593</v>
      </c>
      <c r="N6" s="12">
        <f t="shared" si="3"/>
        <v>119.9364406779662</v>
      </c>
      <c r="O6" s="14">
        <f t="shared" si="4"/>
        <v>0</v>
      </c>
      <c r="P6" s="15">
        <f t="shared" si="5"/>
        <v>-5.0635593220337967</v>
      </c>
      <c r="Q6" s="323">
        <f t="shared" si="6"/>
        <v>0.95949152542372962</v>
      </c>
      <c r="R6" s="616"/>
      <c r="S6" s="32">
        <v>0.75347222222222221</v>
      </c>
      <c r="T6" s="32">
        <v>0.7944444444444444</v>
      </c>
      <c r="U6" s="322">
        <f t="shared" ref="U6" si="10">IF(S6=TIME(17,0,0),"",(S6-T5)*24*60)</f>
        <v>5.9999999999999787</v>
      </c>
      <c r="V6" s="328">
        <f t="shared" si="7"/>
        <v>58.99999999999995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-81.016949152540747</v>
      </c>
      <c r="AF6" s="323">
        <f t="shared" si="9"/>
        <v>0.95949152542372962</v>
      </c>
      <c r="AG6" s="616"/>
    </row>
    <row r="7" spans="1:33">
      <c r="A7" s="644" t="s">
        <v>1633</v>
      </c>
      <c r="B7" s="27" t="s">
        <v>1634</v>
      </c>
      <c r="C7" s="658"/>
      <c r="D7" s="658"/>
      <c r="E7" s="324"/>
      <c r="F7" s="28"/>
      <c r="G7" s="12"/>
      <c r="H7" s="329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1921.0169491525439</v>
      </c>
      <c r="N7" s="12">
        <f t="shared" si="3"/>
        <v>123.93657736468025</v>
      </c>
      <c r="O7" s="14">
        <f t="shared" si="4"/>
        <v>0</v>
      </c>
      <c r="P7" s="15">
        <f t="shared" si="5"/>
        <v>-5.0956806998358815</v>
      </c>
      <c r="Q7" s="323">
        <f t="shared" si="6"/>
        <v>0.96050847457627186</v>
      </c>
      <c r="R7" s="616"/>
      <c r="S7" s="32"/>
      <c r="T7" s="32"/>
      <c r="U7" s="322"/>
      <c r="V7" s="32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-78.98305084745607</v>
      </c>
      <c r="AF7" s="323">
        <f t="shared" si="9"/>
        <v>0.96050847457627198</v>
      </c>
      <c r="AG7" s="616"/>
    </row>
    <row r="8" spans="1:33" ht="15.75" customHeight="1">
      <c r="A8" s="640" t="s">
        <v>1635</v>
      </c>
      <c r="B8" s="27" t="s">
        <v>8</v>
      </c>
      <c r="C8" s="638" t="s">
        <v>10</v>
      </c>
      <c r="D8" s="639"/>
      <c r="E8" s="27">
        <v>39.799999999999997</v>
      </c>
      <c r="F8" s="329">
        <v>3400</v>
      </c>
      <c r="G8" s="322">
        <f t="shared" ref="G8:G12" si="11">E8*F8</f>
        <v>135320</v>
      </c>
      <c r="H8" s="31">
        <v>2</v>
      </c>
      <c r="I8" s="327">
        <v>17</v>
      </c>
      <c r="J8" s="29">
        <v>1500</v>
      </c>
      <c r="K8" s="12">
        <f t="shared" si="1"/>
        <v>88.235294117647058</v>
      </c>
      <c r="L8" s="327">
        <v>17</v>
      </c>
      <c r="M8" s="13">
        <f t="shared" ref="M8:M12" si="12">F8/V8*60</f>
        <v>1436.6197183098591</v>
      </c>
      <c r="N8" s="12">
        <f t="shared" si="3"/>
        <v>84.507042253521121</v>
      </c>
      <c r="O8" s="14">
        <f t="shared" si="4"/>
        <v>0</v>
      </c>
      <c r="P8" s="15">
        <f t="shared" si="5"/>
        <v>-3.7282518641259372</v>
      </c>
      <c r="Q8" s="323">
        <f t="shared" si="6"/>
        <v>0.95774647887323938</v>
      </c>
      <c r="R8" s="616">
        <f>Q13</f>
        <v>0.95652070791154742</v>
      </c>
      <c r="S8" s="32">
        <v>8.3333333333333329E-2</v>
      </c>
      <c r="T8" s="32">
        <v>0.18194444444444444</v>
      </c>
      <c r="U8" s="322"/>
      <c r="V8" s="328">
        <f t="shared" ref="V8:V12" si="13">(T8-S8)*24*60</f>
        <v>142</v>
      </c>
      <c r="W8" s="16">
        <f>T8</f>
        <v>0.18194444444444444</v>
      </c>
      <c r="X8" s="16">
        <f>S9</f>
        <v>0.20208333333333334</v>
      </c>
      <c r="Y8" s="16"/>
      <c r="Z8" s="16"/>
      <c r="AA8" s="612"/>
      <c r="AB8" s="612"/>
      <c r="AC8" s="136">
        <v>5</v>
      </c>
      <c r="AD8" s="18"/>
      <c r="AE8" s="14">
        <f t="shared" si="8"/>
        <v>-63.380281690140919</v>
      </c>
      <c r="AF8" s="323">
        <f t="shared" si="9"/>
        <v>0.95774647887323938</v>
      </c>
      <c r="AG8" s="616">
        <f>AF13</f>
        <v>0.95652070791154742</v>
      </c>
    </row>
    <row r="9" spans="1:33" ht="15.75" customHeight="1">
      <c r="A9" s="640" t="s">
        <v>1635</v>
      </c>
      <c r="B9" s="27" t="s">
        <v>8</v>
      </c>
      <c r="C9" s="638" t="s">
        <v>63</v>
      </c>
      <c r="D9" s="639"/>
      <c r="E9" s="27">
        <v>39.46</v>
      </c>
      <c r="F9" s="329">
        <v>2906</v>
      </c>
      <c r="G9" s="322">
        <f t="shared" si="11"/>
        <v>114670.76000000001</v>
      </c>
      <c r="H9" s="31" t="s">
        <v>40</v>
      </c>
      <c r="I9" s="327">
        <v>15</v>
      </c>
      <c r="J9" s="29">
        <v>1500</v>
      </c>
      <c r="K9" s="12">
        <f t="shared" si="1"/>
        <v>100</v>
      </c>
      <c r="L9" s="327">
        <v>15</v>
      </c>
      <c r="M9" s="13">
        <f t="shared" si="12"/>
        <v>1429.1803278688526</v>
      </c>
      <c r="N9" s="12">
        <f t="shared" si="3"/>
        <v>95.27868852459018</v>
      </c>
      <c r="O9" s="14">
        <f t="shared" si="4"/>
        <v>0</v>
      </c>
      <c r="P9" s="15">
        <f t="shared" si="5"/>
        <v>-4.72131147540982</v>
      </c>
      <c r="Q9" s="323">
        <f t="shared" si="6"/>
        <v>0.95278688524590183</v>
      </c>
      <c r="R9" s="616"/>
      <c r="S9" s="32">
        <v>0.20208333333333334</v>
      </c>
      <c r="T9" s="32">
        <v>0.28680555555555554</v>
      </c>
      <c r="U9" s="322">
        <f t="shared" ref="U9:U12" si="14">IF(S9=TIME(17,0,0),"",(S9-T8)*24*60)</f>
        <v>29.000000000000018</v>
      </c>
      <c r="V9" s="328">
        <f t="shared" si="13"/>
        <v>121.99999999999997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-70.819672131147399</v>
      </c>
      <c r="AF9" s="323">
        <f t="shared" si="9"/>
        <v>0.95278688524590172</v>
      </c>
      <c r="AG9" s="616"/>
    </row>
    <row r="10" spans="1:33" ht="15.75" customHeight="1">
      <c r="A10" s="640" t="s">
        <v>1635</v>
      </c>
      <c r="B10" s="27" t="s">
        <v>8</v>
      </c>
      <c r="C10" s="638" t="s">
        <v>74</v>
      </c>
      <c r="D10" s="639"/>
      <c r="E10" s="27">
        <v>39.520000000000003</v>
      </c>
      <c r="F10" s="329">
        <v>2277</v>
      </c>
      <c r="G10" s="322">
        <f t="shared" si="11"/>
        <v>89987.040000000008</v>
      </c>
      <c r="H10" s="31" t="s">
        <v>40</v>
      </c>
      <c r="I10" s="327">
        <v>19</v>
      </c>
      <c r="J10" s="29">
        <v>1500</v>
      </c>
      <c r="K10" s="12">
        <f t="shared" si="1"/>
        <v>78.94736842105263</v>
      </c>
      <c r="L10" s="327">
        <v>19</v>
      </c>
      <c r="M10" s="13">
        <f t="shared" si="12"/>
        <v>1438.105263157895</v>
      </c>
      <c r="N10" s="12">
        <f t="shared" si="3"/>
        <v>75.689750692520789</v>
      </c>
      <c r="O10" s="14">
        <f t="shared" si="4"/>
        <v>0</v>
      </c>
      <c r="P10" s="15">
        <f t="shared" si="5"/>
        <v>-3.2576177285318408</v>
      </c>
      <c r="Q10" s="323">
        <f t="shared" si="6"/>
        <v>0.95873684210526333</v>
      </c>
      <c r="R10" s="616"/>
      <c r="S10" s="32">
        <v>0.29027777777777775</v>
      </c>
      <c r="T10" s="32">
        <v>0.35624999999999996</v>
      </c>
      <c r="U10" s="322">
        <f t="shared" si="14"/>
        <v>4.9999999999999822</v>
      </c>
      <c r="V10" s="328">
        <f t="shared" si="13"/>
        <v>94.999999999999986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-61.894736842104976</v>
      </c>
      <c r="AF10" s="323">
        <f t="shared" si="9"/>
        <v>0.95873684210526333</v>
      </c>
      <c r="AG10" s="616"/>
    </row>
    <row r="11" spans="1:33" ht="15.75" customHeight="1">
      <c r="A11" s="640" t="s">
        <v>1635</v>
      </c>
      <c r="B11" s="27" t="s">
        <v>8</v>
      </c>
      <c r="C11" s="638" t="s">
        <v>9</v>
      </c>
      <c r="D11" s="639"/>
      <c r="E11" s="27">
        <v>39.619999999999997</v>
      </c>
      <c r="F11" s="329">
        <v>4163</v>
      </c>
      <c r="G11" s="322">
        <f t="shared" si="11"/>
        <v>164938.06</v>
      </c>
      <c r="H11" s="31" t="s">
        <v>40</v>
      </c>
      <c r="I11" s="327">
        <v>19</v>
      </c>
      <c r="J11" s="29">
        <v>1500</v>
      </c>
      <c r="K11" s="12">
        <f t="shared" si="1"/>
        <v>78.94736842105263</v>
      </c>
      <c r="L11" s="327">
        <v>19</v>
      </c>
      <c r="M11" s="13">
        <f t="shared" si="12"/>
        <v>1435.51724137931</v>
      </c>
      <c r="N11" s="12">
        <f t="shared" si="3"/>
        <v>75.553539019963679</v>
      </c>
      <c r="O11" s="14">
        <f t="shared" si="4"/>
        <v>0</v>
      </c>
      <c r="P11" s="15">
        <f t="shared" si="5"/>
        <v>-3.3938294010889507</v>
      </c>
      <c r="Q11" s="323">
        <f t="shared" si="6"/>
        <v>0.95701149425287324</v>
      </c>
      <c r="R11" s="616"/>
      <c r="S11" s="32">
        <v>0.35972222222222217</v>
      </c>
      <c r="T11" s="32">
        <v>0.48055555555555551</v>
      </c>
      <c r="U11" s="322">
        <f t="shared" si="14"/>
        <v>4.9999999999999822</v>
      </c>
      <c r="V11" s="328">
        <f t="shared" si="13"/>
        <v>174.00000000000003</v>
      </c>
      <c r="W11" s="16">
        <f>T11</f>
        <v>0.48055555555555551</v>
      </c>
      <c r="X11" s="16">
        <f>S12</f>
        <v>0.5215277777777777</v>
      </c>
      <c r="Y11" s="16"/>
      <c r="Z11" s="16"/>
      <c r="AA11" s="607"/>
      <c r="AB11" s="608"/>
      <c r="AC11" s="136"/>
      <c r="AD11" s="18"/>
      <c r="AE11" s="14">
        <f t="shared" si="8"/>
        <v>-64.482758620689992</v>
      </c>
      <c r="AF11" s="323">
        <f t="shared" si="9"/>
        <v>0.95701149425287335</v>
      </c>
      <c r="AG11" s="616"/>
    </row>
    <row r="12" spans="1:33" ht="15.75" customHeight="1">
      <c r="A12" s="640" t="s">
        <v>1635</v>
      </c>
      <c r="B12" s="27" t="s">
        <v>8</v>
      </c>
      <c r="C12" s="638" t="s">
        <v>10</v>
      </c>
      <c r="D12" s="639"/>
      <c r="E12" s="27">
        <v>39.799999999999997</v>
      </c>
      <c r="F12" s="329">
        <v>2080</v>
      </c>
      <c r="G12" s="322">
        <f t="shared" si="11"/>
        <v>82784</v>
      </c>
      <c r="H12" s="31" t="s">
        <v>40</v>
      </c>
      <c r="I12" s="327">
        <v>17</v>
      </c>
      <c r="J12" s="29">
        <v>1500</v>
      </c>
      <c r="K12" s="12">
        <f t="shared" si="1"/>
        <v>88.235294117647058</v>
      </c>
      <c r="L12" s="327">
        <v>17</v>
      </c>
      <c r="M12" s="13">
        <f t="shared" si="12"/>
        <v>1434.4827586206893</v>
      </c>
      <c r="N12" s="12">
        <f t="shared" si="3"/>
        <v>84.381338742393496</v>
      </c>
      <c r="O12" s="14">
        <f t="shared" si="4"/>
        <v>0</v>
      </c>
      <c r="P12" s="15">
        <f t="shared" si="5"/>
        <v>-3.8539553752535625</v>
      </c>
      <c r="Q12" s="323">
        <f t="shared" si="6"/>
        <v>0.95632183908045965</v>
      </c>
      <c r="R12" s="616"/>
      <c r="S12" s="32">
        <v>0.5215277777777777</v>
      </c>
      <c r="T12" s="32">
        <v>0.58194444444444438</v>
      </c>
      <c r="U12" s="322">
        <f t="shared" si="14"/>
        <v>58.99999999999995</v>
      </c>
      <c r="V12" s="328">
        <f t="shared" si="13"/>
        <v>87.000000000000014</v>
      </c>
      <c r="W12" s="16"/>
      <c r="X12" s="16"/>
      <c r="Y12" s="19"/>
      <c r="Z12" s="19"/>
      <c r="AA12" s="607"/>
      <c r="AB12" s="608"/>
      <c r="AC12" s="136"/>
      <c r="AD12" s="18"/>
      <c r="AE12" s="14">
        <f t="shared" si="8"/>
        <v>-65.51724137931069</v>
      </c>
      <c r="AF12" s="323">
        <f t="shared" si="9"/>
        <v>0.95632183908045953</v>
      </c>
      <c r="AG12" s="616"/>
    </row>
    <row r="13" spans="1:33" ht="16.5" customHeight="1">
      <c r="A13" s="640" t="s">
        <v>1635</v>
      </c>
      <c r="B13" s="27" t="s">
        <v>1634</v>
      </c>
      <c r="C13" s="658"/>
      <c r="D13" s="658"/>
      <c r="E13" s="324"/>
      <c r="F13" s="29"/>
      <c r="G13" s="13"/>
      <c r="H13" s="329"/>
      <c r="I13" s="21">
        <v>17.399999999999999</v>
      </c>
      <c r="J13" s="29">
        <v>1500</v>
      </c>
      <c r="K13" s="12">
        <f t="shared" si="1"/>
        <v>86.206896551724142</v>
      </c>
      <c r="L13" s="21">
        <v>17.399999999999999</v>
      </c>
      <c r="M13" s="13">
        <f>AVERAGE(M8:M12)</f>
        <v>1434.7810618673211</v>
      </c>
      <c r="N13" s="12">
        <f t="shared" si="3"/>
        <v>82.458681716512714</v>
      </c>
      <c r="O13" s="14">
        <f t="shared" si="4"/>
        <v>0</v>
      </c>
      <c r="P13" s="15">
        <f t="shared" si="5"/>
        <v>-3.748214835211428</v>
      </c>
      <c r="Q13" s="323">
        <f t="shared" si="6"/>
        <v>0.95652070791154742</v>
      </c>
      <c r="R13" s="616"/>
      <c r="S13" s="32"/>
      <c r="T13" s="32"/>
      <c r="U13" s="12"/>
      <c r="V13" s="328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-65.218938132678886</v>
      </c>
      <c r="AF13" s="323">
        <f t="shared" si="9"/>
        <v>0.95652070791154742</v>
      </c>
      <c r="AG13" s="616"/>
    </row>
    <row r="14" spans="1:33" ht="16.5" customHeight="1">
      <c r="A14" s="636" t="s">
        <v>1636</v>
      </c>
      <c r="B14" s="329" t="s">
        <v>1134</v>
      </c>
      <c r="C14" s="659" t="s">
        <v>1035</v>
      </c>
      <c r="D14" s="659"/>
      <c r="E14" s="27">
        <v>31.11</v>
      </c>
      <c r="F14" s="329">
        <v>3539</v>
      </c>
      <c r="G14" s="322">
        <f t="shared" ref="G14:G20" si="15">E14*F14</f>
        <v>110098.29</v>
      </c>
      <c r="H14" s="31" t="s">
        <v>40</v>
      </c>
      <c r="I14" s="327">
        <v>14</v>
      </c>
      <c r="J14" s="29">
        <v>2000</v>
      </c>
      <c r="K14" s="12">
        <f t="shared" si="1"/>
        <v>142.85714285714286</v>
      </c>
      <c r="L14" s="327">
        <v>14</v>
      </c>
      <c r="M14" s="13">
        <f t="shared" ref="M14:M20" si="16">F14/V14*60</f>
        <v>1912.9729729729736</v>
      </c>
      <c r="N14" s="12">
        <f t="shared" si="3"/>
        <v>136.64092664092669</v>
      </c>
      <c r="O14" s="14">
        <f t="shared" si="4"/>
        <v>0</v>
      </c>
      <c r="P14" s="15">
        <f t="shared" si="5"/>
        <v>-6.2162162162161678</v>
      </c>
      <c r="Q14" s="323">
        <f t="shared" si="6"/>
        <v>0.95648648648648682</v>
      </c>
      <c r="R14" s="616">
        <f>Q21</f>
        <v>0.9556974484840568</v>
      </c>
      <c r="S14" s="32">
        <v>8.3333333333333329E-2</v>
      </c>
      <c r="T14" s="32">
        <v>0.16041666666666665</v>
      </c>
      <c r="U14" s="322"/>
      <c r="V14" s="328">
        <f t="shared" ref="V14:V20" si="17">(T14-S14)*24*60</f>
        <v>110.99999999999997</v>
      </c>
      <c r="W14" s="16">
        <f>T14</f>
        <v>0.16041666666666665</v>
      </c>
      <c r="X14" s="16">
        <f>S15</f>
        <v>0.17986111111111108</v>
      </c>
      <c r="Y14" s="20"/>
      <c r="Z14" s="20"/>
      <c r="AA14" s="612"/>
      <c r="AB14" s="612"/>
      <c r="AC14" s="136">
        <v>7</v>
      </c>
      <c r="AD14" s="18"/>
      <c r="AE14" s="14">
        <f t="shared" si="8"/>
        <v>-87.027027027026406</v>
      </c>
      <c r="AF14" s="323">
        <f t="shared" si="9"/>
        <v>0.95648648648648682</v>
      </c>
      <c r="AG14" s="616">
        <f>AF21</f>
        <v>0.9556974484840568</v>
      </c>
    </row>
    <row r="15" spans="1:33" ht="16.5" customHeight="1">
      <c r="A15" s="637" t="s">
        <v>1636</v>
      </c>
      <c r="B15" s="329" t="s">
        <v>1134</v>
      </c>
      <c r="C15" s="659" t="s">
        <v>1036</v>
      </c>
      <c r="D15" s="659"/>
      <c r="E15" s="27">
        <v>38.99</v>
      </c>
      <c r="F15" s="329">
        <v>1307</v>
      </c>
      <c r="G15" s="322">
        <f t="shared" si="15"/>
        <v>50959.93</v>
      </c>
      <c r="H15" s="31" t="s">
        <v>40</v>
      </c>
      <c r="I15" s="327">
        <v>14</v>
      </c>
      <c r="J15" s="29">
        <v>2000</v>
      </c>
      <c r="K15" s="12">
        <f t="shared" si="1"/>
        <v>142.85714285714286</v>
      </c>
      <c r="L15" s="327">
        <v>14</v>
      </c>
      <c r="M15" s="13">
        <f t="shared" si="16"/>
        <v>1912.6829268292677</v>
      </c>
      <c r="N15" s="12">
        <f t="shared" si="3"/>
        <v>136.62020905923342</v>
      </c>
      <c r="O15" s="14">
        <f t="shared" si="4"/>
        <v>0</v>
      </c>
      <c r="P15" s="15">
        <f t="shared" si="5"/>
        <v>-6.2369337979094439</v>
      </c>
      <c r="Q15" s="323">
        <f t="shared" si="6"/>
        <v>0.95634146341463389</v>
      </c>
      <c r="R15" s="616"/>
      <c r="S15" s="32">
        <v>0.17986111111111108</v>
      </c>
      <c r="T15" s="32">
        <v>0.20833333333333331</v>
      </c>
      <c r="U15" s="322">
        <f t="shared" ref="U15:U20" si="18">IF(S15=TIME(17,0,0),"",(S15-T14)*24*60)</f>
        <v>27.999999999999979</v>
      </c>
      <c r="V15" s="328">
        <f t="shared" si="17"/>
        <v>41.000000000000014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-87.317073170732328</v>
      </c>
      <c r="AF15" s="323">
        <f t="shared" si="9"/>
        <v>0.95634146341463389</v>
      </c>
      <c r="AG15" s="616"/>
    </row>
    <row r="16" spans="1:33" ht="16.5" customHeight="1">
      <c r="A16" s="637" t="s">
        <v>1636</v>
      </c>
      <c r="B16" s="329" t="s">
        <v>11</v>
      </c>
      <c r="C16" s="659" t="s">
        <v>67</v>
      </c>
      <c r="D16" s="659"/>
      <c r="E16" s="27">
        <v>38.619999999999997</v>
      </c>
      <c r="F16" s="329">
        <v>1767</v>
      </c>
      <c r="G16" s="322">
        <f t="shared" si="15"/>
        <v>68241.539999999994</v>
      </c>
      <c r="H16" s="31" t="s">
        <v>40</v>
      </c>
      <c r="I16" s="327">
        <v>24</v>
      </c>
      <c r="J16" s="29">
        <v>1500</v>
      </c>
      <c r="K16" s="12">
        <f t="shared" si="1"/>
        <v>62.5</v>
      </c>
      <c r="L16" s="327">
        <v>24</v>
      </c>
      <c r="M16" s="13">
        <f t="shared" si="16"/>
        <v>1432.7027027027025</v>
      </c>
      <c r="N16" s="12">
        <f t="shared" si="3"/>
        <v>59.695945945945937</v>
      </c>
      <c r="O16" s="14">
        <f t="shared" si="4"/>
        <v>0</v>
      </c>
      <c r="P16" s="15">
        <f t="shared" si="5"/>
        <v>-2.8040540540540633</v>
      </c>
      <c r="Q16" s="323">
        <f t="shared" si="6"/>
        <v>0.95513513513513504</v>
      </c>
      <c r="R16" s="616"/>
      <c r="S16" s="32">
        <v>0.21319444444444444</v>
      </c>
      <c r="T16" s="32">
        <v>0.26458333333333334</v>
      </c>
      <c r="U16" s="322">
        <f t="shared" si="18"/>
        <v>7.0000000000000151</v>
      </c>
      <c r="V16" s="328">
        <f t="shared" si="17"/>
        <v>74.000000000000014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-67.297297297297519</v>
      </c>
      <c r="AF16" s="323">
        <f t="shared" si="9"/>
        <v>0.95513513513513504</v>
      </c>
      <c r="AG16" s="616"/>
    </row>
    <row r="17" spans="1:33" ht="16.5" customHeight="1">
      <c r="A17" s="637" t="s">
        <v>1636</v>
      </c>
      <c r="B17" s="329" t="s">
        <v>11</v>
      </c>
      <c r="C17" s="659" t="s">
        <v>12</v>
      </c>
      <c r="D17" s="659"/>
      <c r="E17" s="27">
        <v>41</v>
      </c>
      <c r="F17" s="329">
        <v>1532</v>
      </c>
      <c r="G17" s="322">
        <f t="shared" si="15"/>
        <v>62812</v>
      </c>
      <c r="H17" s="31" t="s">
        <v>40</v>
      </c>
      <c r="I17" s="327">
        <v>26</v>
      </c>
      <c r="J17" s="29">
        <v>1500</v>
      </c>
      <c r="K17" s="12">
        <f t="shared" si="1"/>
        <v>57.692307692307693</v>
      </c>
      <c r="L17" s="327">
        <v>26</v>
      </c>
      <c r="M17" s="13">
        <f t="shared" si="16"/>
        <v>1436.2499999999998</v>
      </c>
      <c r="N17" s="12">
        <f t="shared" si="3"/>
        <v>55.240384615384606</v>
      </c>
      <c r="O17" s="14">
        <f t="shared" si="4"/>
        <v>0</v>
      </c>
      <c r="P17" s="15">
        <f t="shared" si="5"/>
        <v>-2.4519230769230873</v>
      </c>
      <c r="Q17" s="323">
        <f t="shared" si="6"/>
        <v>0.9574999999999998</v>
      </c>
      <c r="R17" s="616"/>
      <c r="S17" s="32">
        <v>0.26944444444444443</v>
      </c>
      <c r="T17" s="32">
        <v>0.31388888888888888</v>
      </c>
      <c r="U17" s="322">
        <f t="shared" si="18"/>
        <v>6.9999999999999751</v>
      </c>
      <c r="V17" s="328">
        <f t="shared" si="17"/>
        <v>64.000000000000014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-63.750000000000227</v>
      </c>
      <c r="AF17" s="323">
        <f t="shared" si="9"/>
        <v>0.9574999999999998</v>
      </c>
      <c r="AG17" s="616"/>
    </row>
    <row r="18" spans="1:33" ht="16.5" customHeight="1">
      <c r="A18" s="637" t="s">
        <v>1636</v>
      </c>
      <c r="B18" s="329" t="s">
        <v>5</v>
      </c>
      <c r="C18" s="659" t="s">
        <v>66</v>
      </c>
      <c r="D18" s="659"/>
      <c r="E18" s="27">
        <v>37.03</v>
      </c>
      <c r="F18" s="329">
        <v>2954</v>
      </c>
      <c r="G18" s="322">
        <f t="shared" si="15"/>
        <v>109386.62000000001</v>
      </c>
      <c r="H18" s="31" t="s">
        <v>40</v>
      </c>
      <c r="I18" s="327">
        <v>13</v>
      </c>
      <c r="J18" s="29">
        <v>1500</v>
      </c>
      <c r="K18" s="12">
        <f t="shared" si="1"/>
        <v>115.38461538461539</v>
      </c>
      <c r="L18" s="327">
        <v>13</v>
      </c>
      <c r="M18" s="13">
        <f t="shared" si="16"/>
        <v>1429.3548387096769</v>
      </c>
      <c r="N18" s="12">
        <f t="shared" si="3"/>
        <v>109.95037220843668</v>
      </c>
      <c r="O18" s="14">
        <f t="shared" si="4"/>
        <v>0</v>
      </c>
      <c r="P18" s="15">
        <f t="shared" si="5"/>
        <v>-5.4342431761787111</v>
      </c>
      <c r="Q18" s="323">
        <f t="shared" si="6"/>
        <v>0.95290322580645115</v>
      </c>
      <c r="R18" s="616"/>
      <c r="S18" s="32">
        <v>0.31874999999999998</v>
      </c>
      <c r="T18" s="32">
        <v>0.40486111111111112</v>
      </c>
      <c r="U18" s="322">
        <f t="shared" si="18"/>
        <v>6.9999999999999751</v>
      </c>
      <c r="V18" s="328">
        <f t="shared" si="17"/>
        <v>124.00000000000004</v>
      </c>
      <c r="W18" s="16"/>
      <c r="X18" s="16"/>
      <c r="Y18" s="16"/>
      <c r="Z18" s="16"/>
      <c r="AA18" s="612"/>
      <c r="AB18" s="612"/>
      <c r="AC18" s="136"/>
      <c r="AD18" s="18"/>
      <c r="AE18" s="14">
        <f t="shared" si="8"/>
        <v>-70.645161290323131</v>
      </c>
      <c r="AF18" s="323">
        <f t="shared" si="9"/>
        <v>0.95290322580645126</v>
      </c>
      <c r="AG18" s="616"/>
    </row>
    <row r="19" spans="1:33" ht="16.5" customHeight="1">
      <c r="A19" s="637" t="s">
        <v>1636</v>
      </c>
      <c r="B19" s="329" t="s">
        <v>5</v>
      </c>
      <c r="C19" s="325" t="s">
        <v>6</v>
      </c>
      <c r="D19" s="326"/>
      <c r="E19" s="27">
        <v>50.67</v>
      </c>
      <c r="F19" s="329">
        <v>1397</v>
      </c>
      <c r="G19" s="322">
        <f t="shared" si="15"/>
        <v>70785.990000000005</v>
      </c>
      <c r="H19" s="31" t="s">
        <v>40</v>
      </c>
      <c r="I19" s="327">
        <v>17</v>
      </c>
      <c r="J19" s="29">
        <v>2000</v>
      </c>
      <c r="K19" s="12">
        <f t="shared" si="1"/>
        <v>117.64705882352941</v>
      </c>
      <c r="L19" s="327">
        <v>17</v>
      </c>
      <c r="M19" s="13">
        <f t="shared" si="16"/>
        <v>1905</v>
      </c>
      <c r="N19" s="12">
        <f t="shared" si="3"/>
        <v>112.05882352941177</v>
      </c>
      <c r="O19" s="14">
        <f t="shared" si="4"/>
        <v>0</v>
      </c>
      <c r="P19" s="15">
        <f t="shared" si="5"/>
        <v>-5.5882352941176379</v>
      </c>
      <c r="Q19" s="323">
        <f t="shared" si="6"/>
        <v>0.95250000000000012</v>
      </c>
      <c r="R19" s="616"/>
      <c r="S19" s="32">
        <v>0.70833333333333337</v>
      </c>
      <c r="T19" s="32">
        <v>0.73888888888888893</v>
      </c>
      <c r="U19" s="322" t="str">
        <f t="shared" si="18"/>
        <v/>
      </c>
      <c r="V19" s="328">
        <f t="shared" si="17"/>
        <v>44</v>
      </c>
      <c r="W19" s="16"/>
      <c r="X19" s="16"/>
      <c r="Y19" s="19"/>
      <c r="Z19" s="19"/>
      <c r="AA19" s="318"/>
      <c r="AB19" s="319"/>
      <c r="AC19" s="136"/>
      <c r="AD19" s="18"/>
      <c r="AE19" s="14">
        <f t="shared" si="8"/>
        <v>-95</v>
      </c>
      <c r="AF19" s="323">
        <f t="shared" si="9"/>
        <v>0.95250000000000001</v>
      </c>
      <c r="AG19" s="616"/>
    </row>
    <row r="20" spans="1:33" ht="16.5" customHeight="1">
      <c r="A20" s="637" t="s">
        <v>1636</v>
      </c>
      <c r="B20" s="329" t="s">
        <v>5</v>
      </c>
      <c r="C20" s="325" t="s">
        <v>615</v>
      </c>
      <c r="D20" s="326"/>
      <c r="E20" s="27">
        <v>54.5</v>
      </c>
      <c r="F20" s="329">
        <v>2423</v>
      </c>
      <c r="G20" s="322">
        <f t="shared" si="15"/>
        <v>132053.5</v>
      </c>
      <c r="H20" s="31" t="s">
        <v>40</v>
      </c>
      <c r="I20" s="327">
        <v>20</v>
      </c>
      <c r="J20" s="29">
        <v>1500</v>
      </c>
      <c r="K20" s="12">
        <f t="shared" si="1"/>
        <v>75</v>
      </c>
      <c r="L20" s="327">
        <v>20</v>
      </c>
      <c r="M20" s="13">
        <f t="shared" si="16"/>
        <v>1439.4059405940602</v>
      </c>
      <c r="N20" s="12">
        <f t="shared" si="3"/>
        <v>71.970297029703005</v>
      </c>
      <c r="O20" s="14">
        <f t="shared" si="4"/>
        <v>0</v>
      </c>
      <c r="P20" s="15">
        <f t="shared" si="5"/>
        <v>-3.0297029702969951</v>
      </c>
      <c r="Q20" s="323">
        <f t="shared" si="6"/>
        <v>0.95960396039604001</v>
      </c>
      <c r="R20" s="616"/>
      <c r="S20" s="32">
        <v>0.74375000000000002</v>
      </c>
      <c r="T20" s="32">
        <v>0.81388888888888888</v>
      </c>
      <c r="U20" s="322">
        <f t="shared" si="18"/>
        <v>6.9999999999999751</v>
      </c>
      <c r="V20" s="328">
        <f t="shared" si="17"/>
        <v>100.99999999999996</v>
      </c>
      <c r="W20" s="16"/>
      <c r="X20" s="16"/>
      <c r="Y20" s="19"/>
      <c r="Z20" s="19"/>
      <c r="AA20" s="318"/>
      <c r="AB20" s="319"/>
      <c r="AC20" s="136"/>
      <c r="AD20" s="18"/>
      <c r="AE20" s="14">
        <f t="shared" si="8"/>
        <v>-60.594059405939788</v>
      </c>
      <c r="AF20" s="323">
        <f t="shared" si="9"/>
        <v>0.95960396039604012</v>
      </c>
      <c r="AG20" s="616"/>
    </row>
    <row r="21" spans="1:33" ht="16.5" customHeight="1">
      <c r="A21" s="637" t="s">
        <v>1636</v>
      </c>
      <c r="B21" s="27" t="s">
        <v>1634</v>
      </c>
      <c r="C21" s="658"/>
      <c r="D21" s="658"/>
      <c r="E21" s="324"/>
      <c r="F21" s="28"/>
      <c r="G21" s="12"/>
      <c r="H21" s="329"/>
      <c r="I21" s="21">
        <v>18.285714285714285</v>
      </c>
      <c r="J21" s="29">
        <v>1714.2857142857142</v>
      </c>
      <c r="K21" s="12">
        <f t="shared" si="1"/>
        <v>93.75</v>
      </c>
      <c r="L21" s="21">
        <v>18.285714285714285</v>
      </c>
      <c r="M21" s="13">
        <f>AVERAGE(M14:M20)</f>
        <v>1638.3384831155258</v>
      </c>
      <c r="N21" s="12">
        <f t="shared" si="3"/>
        <v>89.596635795380323</v>
      </c>
      <c r="O21" s="14">
        <f t="shared" si="4"/>
        <v>0</v>
      </c>
      <c r="P21" s="15">
        <f t="shared" si="5"/>
        <v>-4.1533642046196775</v>
      </c>
      <c r="Q21" s="323">
        <f t="shared" si="6"/>
        <v>0.9556974484840568</v>
      </c>
      <c r="R21" s="616"/>
      <c r="S21" s="32"/>
      <c r="T21" s="32"/>
      <c r="U21" s="322"/>
      <c r="V21" s="328"/>
      <c r="W21" s="12"/>
      <c r="X21" s="12"/>
      <c r="Y21" s="22">
        <f>SUM(Y14:Y20)</f>
        <v>0</v>
      </c>
      <c r="Z21" s="22">
        <f>SUM(Z14:Z20)</f>
        <v>0</v>
      </c>
      <c r="AA21" s="611"/>
      <c r="AB21" s="611"/>
      <c r="AC21" s="22">
        <v>7</v>
      </c>
      <c r="AD21" s="22">
        <f>SUM(AD14:AD20)</f>
        <v>0</v>
      </c>
      <c r="AE21" s="14">
        <f t="shared" si="8"/>
        <v>-75.947231170188388</v>
      </c>
      <c r="AF21" s="323">
        <f t="shared" si="9"/>
        <v>0.9556974484840568</v>
      </c>
      <c r="AG21" s="616"/>
    </row>
    <row r="22" spans="1:33" ht="15.75" customHeight="1">
      <c r="A22" s="634" t="s">
        <v>1637</v>
      </c>
      <c r="B22" s="27" t="s">
        <v>5</v>
      </c>
      <c r="C22" s="659" t="s">
        <v>16</v>
      </c>
      <c r="D22" s="659"/>
      <c r="E22" s="27">
        <v>50.67</v>
      </c>
      <c r="F22" s="329">
        <v>1479</v>
      </c>
      <c r="G22" s="322">
        <f t="shared" ref="G22:G27" si="19">E22*F22</f>
        <v>74940.930000000008</v>
      </c>
      <c r="H22" s="31" t="s">
        <v>40</v>
      </c>
      <c r="I22" s="327">
        <v>17</v>
      </c>
      <c r="J22" s="29">
        <v>2000</v>
      </c>
      <c r="K22" s="12">
        <f t="shared" si="1"/>
        <v>117.64705882352941</v>
      </c>
      <c r="L22" s="327">
        <v>17</v>
      </c>
      <c r="M22" s="13">
        <f t="shared" ref="M22:M27" si="20">F22/V22*60</f>
        <v>1929.1304347826085</v>
      </c>
      <c r="N22" s="12">
        <f t="shared" si="3"/>
        <v>113.4782608695652</v>
      </c>
      <c r="O22" s="14">
        <f t="shared" si="4"/>
        <v>0</v>
      </c>
      <c r="P22" s="15">
        <f t="shared" si="5"/>
        <v>-4.1687979539642015</v>
      </c>
      <c r="Q22" s="323">
        <f t="shared" si="6"/>
        <v>0.9645652173913043</v>
      </c>
      <c r="R22" s="616">
        <f>Q28</f>
        <v>0.96108222250670727</v>
      </c>
      <c r="S22" s="32">
        <v>0.20833333333333334</v>
      </c>
      <c r="T22" s="32">
        <v>0.24027777777777778</v>
      </c>
      <c r="U22" s="322"/>
      <c r="V22" s="328">
        <f t="shared" ref="V22:V27" si="21">(T22-S22)*24*60</f>
        <v>46</v>
      </c>
      <c r="W22" s="16"/>
      <c r="X22" s="16"/>
      <c r="Y22" s="20"/>
      <c r="Z22" s="20"/>
      <c r="AA22" s="612"/>
      <c r="AB22" s="612"/>
      <c r="AC22" s="136">
        <v>6</v>
      </c>
      <c r="AD22" s="18"/>
      <c r="AE22" s="14">
        <f t="shared" si="8"/>
        <v>-70.869565217391482</v>
      </c>
      <c r="AF22" s="323">
        <f t="shared" si="9"/>
        <v>0.9645652173913043</v>
      </c>
      <c r="AG22" s="616">
        <f>AF28</f>
        <v>0.96108222250670727</v>
      </c>
    </row>
    <row r="23" spans="1:33" ht="15.75" customHeight="1">
      <c r="A23" s="635" t="s">
        <v>1637</v>
      </c>
      <c r="B23" s="27" t="s">
        <v>5</v>
      </c>
      <c r="C23" s="659" t="s">
        <v>17</v>
      </c>
      <c r="D23" s="659"/>
      <c r="E23" s="27">
        <v>57.73</v>
      </c>
      <c r="F23" s="329">
        <v>2096</v>
      </c>
      <c r="G23" s="322">
        <f t="shared" si="19"/>
        <v>121002.07999999999</v>
      </c>
      <c r="H23" s="31" t="s">
        <v>40</v>
      </c>
      <c r="I23" s="327">
        <v>14</v>
      </c>
      <c r="J23" s="29">
        <v>2000</v>
      </c>
      <c r="K23" s="12">
        <f t="shared" si="1"/>
        <v>142.85714285714286</v>
      </c>
      <c r="L23" s="327">
        <v>14</v>
      </c>
      <c r="M23" s="13">
        <f t="shared" si="20"/>
        <v>1905.4545454545455</v>
      </c>
      <c r="N23" s="12">
        <f t="shared" si="3"/>
        <v>136.10389610389612</v>
      </c>
      <c r="O23" s="14">
        <f t="shared" si="4"/>
        <v>0</v>
      </c>
      <c r="P23" s="15">
        <f t="shared" si="5"/>
        <v>-6.7532467532467422</v>
      </c>
      <c r="Q23" s="323">
        <f t="shared" si="6"/>
        <v>0.95272727272727276</v>
      </c>
      <c r="R23" s="616"/>
      <c r="S23" s="32">
        <v>0.24444444444444446</v>
      </c>
      <c r="T23" s="32">
        <v>0.2902777777777778</v>
      </c>
      <c r="U23" s="322">
        <f t="shared" ref="U23:U27" si="22">IF(S23=TIME(17,0,0),"",(S23-T22)*24*60)</f>
        <v>6.0000000000000187</v>
      </c>
      <c r="V23" s="328">
        <f t="shared" si="21"/>
        <v>66</v>
      </c>
      <c r="W23" s="16"/>
      <c r="X23" s="322"/>
      <c r="Y23" s="322"/>
      <c r="Z23" s="322"/>
      <c r="AA23" s="612"/>
      <c r="AB23" s="612"/>
      <c r="AC23" s="136"/>
      <c r="AD23" s="18"/>
      <c r="AE23" s="14">
        <f t="shared" si="8"/>
        <v>-94.545454545454504</v>
      </c>
      <c r="AF23" s="323">
        <f t="shared" si="9"/>
        <v>0.95272727272727276</v>
      </c>
      <c r="AG23" s="616"/>
    </row>
    <row r="24" spans="1:33" ht="15.75" customHeight="1">
      <c r="A24" s="635" t="s">
        <v>1637</v>
      </c>
      <c r="B24" s="27" t="s">
        <v>5</v>
      </c>
      <c r="C24" s="659" t="s">
        <v>60</v>
      </c>
      <c r="D24" s="659"/>
      <c r="E24" s="27">
        <v>53.27</v>
      </c>
      <c r="F24" s="329">
        <v>1209</v>
      </c>
      <c r="G24" s="322">
        <f t="shared" si="19"/>
        <v>64403.43</v>
      </c>
      <c r="H24" s="31" t="s">
        <v>40</v>
      </c>
      <c r="I24" s="327">
        <v>16</v>
      </c>
      <c r="J24" s="29">
        <v>2000</v>
      </c>
      <c r="K24" s="12">
        <f t="shared" si="1"/>
        <v>125</v>
      </c>
      <c r="L24" s="327">
        <v>16</v>
      </c>
      <c r="M24" s="13">
        <f t="shared" si="20"/>
        <v>1908.9473684210514</v>
      </c>
      <c r="N24" s="12">
        <f t="shared" si="3"/>
        <v>119.30921052631571</v>
      </c>
      <c r="O24" s="14">
        <f t="shared" si="4"/>
        <v>0</v>
      </c>
      <c r="P24" s="15">
        <f t="shared" si="5"/>
        <v>-5.6907894736842906</v>
      </c>
      <c r="Q24" s="323">
        <f t="shared" si="6"/>
        <v>0.9544736842105257</v>
      </c>
      <c r="R24" s="616"/>
      <c r="S24" s="32">
        <v>0.2951388888888889</v>
      </c>
      <c r="T24" s="32">
        <v>0.3215277777777778</v>
      </c>
      <c r="U24" s="322">
        <f t="shared" si="22"/>
        <v>6.9999999999999751</v>
      </c>
      <c r="V24" s="328">
        <f t="shared" si="21"/>
        <v>38.000000000000028</v>
      </c>
      <c r="W24" s="16"/>
      <c r="X24" s="322"/>
      <c r="Y24" s="322"/>
      <c r="Z24" s="322"/>
      <c r="AA24" s="612"/>
      <c r="AB24" s="612"/>
      <c r="AC24" s="136"/>
      <c r="AD24" s="18"/>
      <c r="AE24" s="14">
        <f t="shared" si="8"/>
        <v>-91.052631578948649</v>
      </c>
      <c r="AF24" s="323">
        <f t="shared" si="9"/>
        <v>0.9544736842105257</v>
      </c>
      <c r="AG24" s="616"/>
    </row>
    <row r="25" spans="1:33" ht="15.75" customHeight="1">
      <c r="A25" s="635" t="s">
        <v>1637</v>
      </c>
      <c r="B25" s="27" t="s">
        <v>5</v>
      </c>
      <c r="C25" s="659" t="s">
        <v>18</v>
      </c>
      <c r="D25" s="659"/>
      <c r="E25" s="27">
        <v>50.49</v>
      </c>
      <c r="F25" s="329">
        <v>1479</v>
      </c>
      <c r="G25" s="322">
        <f t="shared" si="19"/>
        <v>74674.710000000006</v>
      </c>
      <c r="H25" s="31" t="s">
        <v>40</v>
      </c>
      <c r="I25" s="327">
        <v>15</v>
      </c>
      <c r="J25" s="29">
        <v>2000</v>
      </c>
      <c r="K25" s="12">
        <f t="shared" si="1"/>
        <v>133.33333333333334</v>
      </c>
      <c r="L25" s="327">
        <v>15</v>
      </c>
      <c r="M25" s="13">
        <f t="shared" si="20"/>
        <v>1929.1304347826085</v>
      </c>
      <c r="N25" s="12">
        <f t="shared" si="3"/>
        <v>128.60869565217391</v>
      </c>
      <c r="O25" s="14">
        <f t="shared" si="4"/>
        <v>0</v>
      </c>
      <c r="P25" s="15">
        <f t="shared" si="5"/>
        <v>-4.7246376811594359</v>
      </c>
      <c r="Q25" s="323">
        <f t="shared" si="6"/>
        <v>0.96456521739130419</v>
      </c>
      <c r="R25" s="616"/>
      <c r="S25" s="32">
        <v>0.70833333333333337</v>
      </c>
      <c r="T25" s="32">
        <v>0.74027777777777781</v>
      </c>
      <c r="U25" s="322" t="str">
        <f t="shared" si="22"/>
        <v/>
      </c>
      <c r="V25" s="328">
        <f t="shared" si="21"/>
        <v>46</v>
      </c>
      <c r="W25" s="16"/>
      <c r="X25" s="322"/>
      <c r="Y25" s="322"/>
      <c r="Z25" s="322"/>
      <c r="AA25" s="612"/>
      <c r="AB25" s="612"/>
      <c r="AC25" s="136"/>
      <c r="AD25" s="18"/>
      <c r="AE25" s="14">
        <f t="shared" si="8"/>
        <v>-70.869565217391482</v>
      </c>
      <c r="AF25" s="323">
        <f t="shared" si="9"/>
        <v>0.9645652173913043</v>
      </c>
      <c r="AG25" s="616"/>
    </row>
    <row r="26" spans="1:33" ht="15.75" customHeight="1">
      <c r="A26" s="635" t="s">
        <v>1637</v>
      </c>
      <c r="B26" s="27" t="s">
        <v>5</v>
      </c>
      <c r="C26" s="659" t="s">
        <v>65</v>
      </c>
      <c r="D26" s="659"/>
      <c r="E26" s="27">
        <v>56.43</v>
      </c>
      <c r="F26" s="329">
        <v>1224</v>
      </c>
      <c r="G26" s="322">
        <f t="shared" si="19"/>
        <v>69070.319999999992</v>
      </c>
      <c r="H26" s="31" t="s">
        <v>40</v>
      </c>
      <c r="I26" s="327">
        <v>13</v>
      </c>
      <c r="J26" s="29">
        <v>2000</v>
      </c>
      <c r="K26" s="12">
        <f t="shared" si="1"/>
        <v>153.84615384615384</v>
      </c>
      <c r="L26" s="327">
        <v>13</v>
      </c>
      <c r="M26" s="13">
        <f t="shared" si="20"/>
        <v>1932.631578947367</v>
      </c>
      <c r="N26" s="12">
        <f t="shared" si="3"/>
        <v>148.66396761133592</v>
      </c>
      <c r="O26" s="14">
        <f t="shared" si="4"/>
        <v>0</v>
      </c>
      <c r="P26" s="15">
        <f t="shared" si="5"/>
        <v>-5.1821862348179195</v>
      </c>
      <c r="Q26" s="323">
        <f t="shared" si="6"/>
        <v>0.96631578947368357</v>
      </c>
      <c r="R26" s="616"/>
      <c r="S26" s="32">
        <v>0.74375000000000002</v>
      </c>
      <c r="T26" s="32">
        <v>0.77013888888888893</v>
      </c>
      <c r="U26" s="322">
        <f t="shared" si="22"/>
        <v>4.9999999999999822</v>
      </c>
      <c r="V26" s="328">
        <f t="shared" si="21"/>
        <v>38.000000000000028</v>
      </c>
      <c r="W26" s="16"/>
      <c r="X26" s="16"/>
      <c r="Y26" s="322"/>
      <c r="Z26" s="322"/>
      <c r="AA26" s="612"/>
      <c r="AB26" s="612"/>
      <c r="AC26" s="136"/>
      <c r="AD26" s="18"/>
      <c r="AE26" s="14">
        <f t="shared" si="8"/>
        <v>-67.368421052633039</v>
      </c>
      <c r="AF26" s="323">
        <f t="shared" si="9"/>
        <v>0.96631578947368346</v>
      </c>
      <c r="AG26" s="616"/>
    </row>
    <row r="27" spans="1:33" ht="15.75" customHeight="1">
      <c r="A27" s="635" t="s">
        <v>1637</v>
      </c>
      <c r="B27" s="27" t="s">
        <v>5</v>
      </c>
      <c r="C27" s="659" t="s">
        <v>1322</v>
      </c>
      <c r="D27" s="659"/>
      <c r="E27" s="27">
        <v>54.09</v>
      </c>
      <c r="F27" s="329">
        <v>2506</v>
      </c>
      <c r="G27" s="322">
        <f t="shared" si="19"/>
        <v>135549.54</v>
      </c>
      <c r="H27" s="31" t="s">
        <v>40</v>
      </c>
      <c r="I27" s="327">
        <v>18</v>
      </c>
      <c r="J27" s="29">
        <v>2000</v>
      </c>
      <c r="K27" s="12">
        <f t="shared" si="1"/>
        <v>111.11111111111111</v>
      </c>
      <c r="L27" s="327">
        <v>18</v>
      </c>
      <c r="M27" s="13">
        <f t="shared" si="20"/>
        <v>1927.6923076923067</v>
      </c>
      <c r="N27" s="12">
        <f t="shared" si="3"/>
        <v>107.09401709401703</v>
      </c>
      <c r="O27" s="14">
        <f t="shared" si="4"/>
        <v>0</v>
      </c>
      <c r="P27" s="15">
        <f t="shared" si="5"/>
        <v>-4.017094017094081</v>
      </c>
      <c r="Q27" s="323">
        <f t="shared" si="6"/>
        <v>0.96384615384615324</v>
      </c>
      <c r="R27" s="616"/>
      <c r="S27" s="32">
        <v>0.77430555555555558</v>
      </c>
      <c r="T27" s="32">
        <v>0.82847222222222228</v>
      </c>
      <c r="U27" s="322">
        <f t="shared" si="22"/>
        <v>5.9999999999999787</v>
      </c>
      <c r="V27" s="328">
        <f t="shared" si="21"/>
        <v>78.000000000000043</v>
      </c>
      <c r="W27" s="16"/>
      <c r="X27" s="20"/>
      <c r="Y27" s="20"/>
      <c r="Z27" s="20"/>
      <c r="AA27" s="612"/>
      <c r="AB27" s="612"/>
      <c r="AC27" s="136"/>
      <c r="AD27" s="18"/>
      <c r="AE27" s="14">
        <f t="shared" si="8"/>
        <v>-72.307692307693287</v>
      </c>
      <c r="AF27" s="323">
        <f t="shared" si="9"/>
        <v>0.96384615384615335</v>
      </c>
      <c r="AG27" s="616"/>
    </row>
    <row r="28" spans="1:33" ht="15.75" customHeight="1">
      <c r="A28" s="635" t="s">
        <v>1637</v>
      </c>
      <c r="B28" s="27" t="s">
        <v>1634</v>
      </c>
      <c r="C28" s="658"/>
      <c r="D28" s="658"/>
      <c r="E28" s="324"/>
      <c r="F28" s="329"/>
      <c r="G28" s="322"/>
      <c r="H28" s="329"/>
      <c r="I28" s="21">
        <v>15.5</v>
      </c>
      <c r="J28" s="29">
        <v>2000</v>
      </c>
      <c r="K28" s="12">
        <f t="shared" si="1"/>
        <v>129.03225806451613</v>
      </c>
      <c r="L28" s="21">
        <v>15.5</v>
      </c>
      <c r="M28" s="13">
        <f>AVERAGE(M22:M27)</f>
        <v>1922.1644450134145</v>
      </c>
      <c r="N28" s="12">
        <f t="shared" si="3"/>
        <v>124.01060935570416</v>
      </c>
      <c r="O28" s="14">
        <f t="shared" si="4"/>
        <v>0</v>
      </c>
      <c r="P28" s="15">
        <f t="shared" si="5"/>
        <v>-5.0216487088119663</v>
      </c>
      <c r="Q28" s="323">
        <f t="shared" si="6"/>
        <v>0.96108222250670727</v>
      </c>
      <c r="R28" s="616"/>
      <c r="S28" s="32"/>
      <c r="T28" s="32"/>
      <c r="U28" s="12"/>
      <c r="V28" s="328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-77.835554986585521</v>
      </c>
      <c r="AF28" s="323">
        <f t="shared" si="9"/>
        <v>0.96108222250670727</v>
      </c>
      <c r="AG28" s="616"/>
    </row>
    <row r="29" spans="1:33" ht="15.75" customHeight="1">
      <c r="A29" s="633" t="s">
        <v>1638</v>
      </c>
      <c r="B29" s="27" t="s">
        <v>20</v>
      </c>
      <c r="C29" s="659" t="s">
        <v>21</v>
      </c>
      <c r="D29" s="659"/>
      <c r="E29" s="27">
        <v>31.29</v>
      </c>
      <c r="F29" s="329">
        <v>6518</v>
      </c>
      <c r="G29" s="322">
        <f t="shared" ref="G29:G34" si="23">E29*F29</f>
        <v>203948.22</v>
      </c>
      <c r="H29" s="31" t="s">
        <v>40</v>
      </c>
      <c r="I29" s="327">
        <v>18</v>
      </c>
      <c r="J29" s="29">
        <v>2400</v>
      </c>
      <c r="K29" s="12">
        <f t="shared" si="1"/>
        <v>133.33333333333334</v>
      </c>
      <c r="L29" s="327">
        <v>18</v>
      </c>
      <c r="M29" s="13">
        <f t="shared" ref="M29:M34" si="24">F29/V29*60</f>
        <v>2287.0175438596493</v>
      </c>
      <c r="N29" s="12">
        <f t="shared" si="3"/>
        <v>127.05653021442497</v>
      </c>
      <c r="O29" s="14">
        <f t="shared" si="4"/>
        <v>0</v>
      </c>
      <c r="P29" s="15">
        <f t="shared" si="5"/>
        <v>-6.2768031189083757</v>
      </c>
      <c r="Q29" s="323">
        <f t="shared" si="6"/>
        <v>0.95292397660818717</v>
      </c>
      <c r="R29" s="616">
        <f>Q35</f>
        <v>0.95667490148800172</v>
      </c>
      <c r="S29" s="32">
        <v>8.3333333333333329E-2</v>
      </c>
      <c r="T29" s="32">
        <v>0.20208333333333334</v>
      </c>
      <c r="U29" s="322"/>
      <c r="V29" s="328">
        <f t="shared" ref="V29:V34" si="25">(T29-S29)*24*60</f>
        <v>171</v>
      </c>
      <c r="W29" s="16">
        <f>T29</f>
        <v>0.20208333333333334</v>
      </c>
      <c r="X29" s="16">
        <f>S30</f>
        <v>0.22361111111111112</v>
      </c>
      <c r="Y29" s="16"/>
      <c r="Z29" s="16"/>
      <c r="AA29" s="612"/>
      <c r="AB29" s="612"/>
      <c r="AC29" s="136">
        <v>6</v>
      </c>
      <c r="AD29" s="18"/>
      <c r="AE29" s="14">
        <f t="shared" si="8"/>
        <v>-112.98245614035068</v>
      </c>
      <c r="AF29" s="323">
        <f t="shared" si="9"/>
        <v>0.95292397660818717</v>
      </c>
      <c r="AG29" s="616">
        <f>AF35</f>
        <v>0.95667490148800183</v>
      </c>
    </row>
    <row r="30" spans="1:33" ht="15.75" customHeight="1">
      <c r="A30" s="633" t="s">
        <v>1638</v>
      </c>
      <c r="B30" s="27" t="s">
        <v>20</v>
      </c>
      <c r="C30" s="659" t="s">
        <v>22</v>
      </c>
      <c r="D30" s="659"/>
      <c r="E30" s="27">
        <v>26.37</v>
      </c>
      <c r="F30" s="329">
        <v>4912</v>
      </c>
      <c r="G30" s="322">
        <f t="shared" si="23"/>
        <v>129529.44</v>
      </c>
      <c r="H30" s="31" t="s">
        <v>40</v>
      </c>
      <c r="I30" s="327">
        <v>18</v>
      </c>
      <c r="J30" s="29">
        <v>2400</v>
      </c>
      <c r="K30" s="12">
        <f t="shared" si="1"/>
        <v>133.33333333333334</v>
      </c>
      <c r="L30" s="327">
        <v>18</v>
      </c>
      <c r="M30" s="13">
        <f t="shared" si="24"/>
        <v>2284.6511627906984</v>
      </c>
      <c r="N30" s="12">
        <f t="shared" si="3"/>
        <v>126.92506459948325</v>
      </c>
      <c r="O30" s="14">
        <f t="shared" si="4"/>
        <v>0</v>
      </c>
      <c r="P30" s="15">
        <f t="shared" si="5"/>
        <v>-6.4082687338500932</v>
      </c>
      <c r="Q30" s="323">
        <f t="shared" si="6"/>
        <v>0.95193798449612432</v>
      </c>
      <c r="R30" s="616"/>
      <c r="S30" s="32">
        <v>0.22361111111111112</v>
      </c>
      <c r="T30" s="32">
        <v>0.31319444444444444</v>
      </c>
      <c r="U30" s="322">
        <f t="shared" ref="U30:U34" si="26">(S30-T29)*24*60</f>
        <v>31.000000000000011</v>
      </c>
      <c r="V30" s="328">
        <f t="shared" si="25"/>
        <v>128.99999999999997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-115.34883720930156</v>
      </c>
      <c r="AF30" s="323">
        <f t="shared" si="9"/>
        <v>0.95193798449612432</v>
      </c>
      <c r="AG30" s="616"/>
    </row>
    <row r="31" spans="1:33" ht="15.75" customHeight="1">
      <c r="A31" s="633" t="s">
        <v>1638</v>
      </c>
      <c r="B31" s="27" t="s">
        <v>20</v>
      </c>
      <c r="C31" s="659" t="s">
        <v>57</v>
      </c>
      <c r="D31" s="659"/>
      <c r="E31" s="27">
        <v>26.18</v>
      </c>
      <c r="F31" s="329">
        <v>4300</v>
      </c>
      <c r="G31" s="322">
        <f t="shared" si="23"/>
        <v>112574</v>
      </c>
      <c r="H31" s="31">
        <v>2</v>
      </c>
      <c r="I31" s="327">
        <v>18</v>
      </c>
      <c r="J31" s="29">
        <v>2400</v>
      </c>
      <c r="K31" s="12">
        <f t="shared" si="1"/>
        <v>133.33333333333334</v>
      </c>
      <c r="L31" s="327">
        <v>18</v>
      </c>
      <c r="M31" s="13">
        <f t="shared" si="24"/>
        <v>2283.1858407079644</v>
      </c>
      <c r="N31" s="12">
        <f t="shared" si="3"/>
        <v>126.84365781710913</v>
      </c>
      <c r="O31" s="14">
        <f t="shared" si="4"/>
        <v>0</v>
      </c>
      <c r="P31" s="15">
        <f t="shared" si="5"/>
        <v>-6.4896755162242101</v>
      </c>
      <c r="Q31" s="323">
        <f t="shared" si="6"/>
        <v>0.9513274336283184</v>
      </c>
      <c r="R31" s="616"/>
      <c r="S31" s="32">
        <v>0.31736111111111109</v>
      </c>
      <c r="T31" s="32">
        <v>0.39583333333333331</v>
      </c>
      <c r="U31" s="322">
        <f t="shared" si="26"/>
        <v>5.9999999999999787</v>
      </c>
      <c r="V31" s="328">
        <f t="shared" si="25"/>
        <v>113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-116.81415929203558</v>
      </c>
      <c r="AF31" s="323">
        <f t="shared" si="9"/>
        <v>0.95132743362831851</v>
      </c>
      <c r="AG31" s="616"/>
    </row>
    <row r="32" spans="1:33" ht="15.75" customHeight="1">
      <c r="A32" s="633" t="s">
        <v>1638</v>
      </c>
      <c r="B32" s="27" t="s">
        <v>20</v>
      </c>
      <c r="C32" s="659" t="s">
        <v>59</v>
      </c>
      <c r="D32" s="659"/>
      <c r="E32" s="27">
        <v>25.99</v>
      </c>
      <c r="F32" s="329">
        <v>1036</v>
      </c>
      <c r="G32" s="322">
        <f t="shared" si="23"/>
        <v>26925.64</v>
      </c>
      <c r="H32" s="31" t="s">
        <v>40</v>
      </c>
      <c r="I32" s="327">
        <v>18</v>
      </c>
      <c r="J32" s="29">
        <v>2400</v>
      </c>
      <c r="K32" s="12">
        <f t="shared" si="1"/>
        <v>133.33333333333334</v>
      </c>
      <c r="L32" s="327">
        <v>18</v>
      </c>
      <c r="M32" s="13">
        <f t="shared" si="24"/>
        <v>2302.2222222222231</v>
      </c>
      <c r="N32" s="12">
        <f t="shared" si="3"/>
        <v>127.90123456790128</v>
      </c>
      <c r="O32" s="14">
        <f t="shared" si="4"/>
        <v>0</v>
      </c>
      <c r="P32" s="15">
        <f t="shared" si="5"/>
        <v>-5.4320987654320589</v>
      </c>
      <c r="Q32" s="323">
        <f t="shared" si="6"/>
        <v>0.95925925925925959</v>
      </c>
      <c r="R32" s="616"/>
      <c r="S32" s="32">
        <v>0.40138888888888885</v>
      </c>
      <c r="T32" s="32">
        <v>0.42013888888888884</v>
      </c>
      <c r="U32" s="322">
        <f t="shared" si="26"/>
        <v>7.9999999999999716</v>
      </c>
      <c r="V32" s="328">
        <f t="shared" si="25"/>
        <v>26.999999999999986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-97.777777777776919</v>
      </c>
      <c r="AF32" s="323">
        <f t="shared" si="9"/>
        <v>0.95925925925925959</v>
      </c>
      <c r="AG32" s="616"/>
    </row>
    <row r="33" spans="1:33" ht="15.75" customHeight="1">
      <c r="A33" s="633" t="s">
        <v>1638</v>
      </c>
      <c r="B33" s="27" t="s">
        <v>20</v>
      </c>
      <c r="C33" s="659" t="s">
        <v>23</v>
      </c>
      <c r="D33" s="659"/>
      <c r="E33" s="27">
        <v>25.99</v>
      </c>
      <c r="F33" s="329">
        <v>3205</v>
      </c>
      <c r="G33" s="322">
        <f t="shared" si="23"/>
        <v>83297.95</v>
      </c>
      <c r="H33" s="31" t="s">
        <v>40</v>
      </c>
      <c r="I33" s="327">
        <v>14</v>
      </c>
      <c r="J33" s="29">
        <v>2400</v>
      </c>
      <c r="K33" s="12">
        <f t="shared" si="1"/>
        <v>171.42857142857142</v>
      </c>
      <c r="L33" s="327">
        <v>14</v>
      </c>
      <c r="M33" s="13">
        <f t="shared" si="24"/>
        <v>2289.2857142857133</v>
      </c>
      <c r="N33" s="12">
        <f t="shared" si="3"/>
        <v>163.52040816326524</v>
      </c>
      <c r="O33" s="14">
        <f t="shared" si="4"/>
        <v>0</v>
      </c>
      <c r="P33" s="15">
        <f t="shared" si="5"/>
        <v>-7.9081632653061718</v>
      </c>
      <c r="Q33" s="323">
        <f t="shared" si="6"/>
        <v>0.95386904761904734</v>
      </c>
      <c r="R33" s="616"/>
      <c r="S33" s="32">
        <v>0.42430555555555549</v>
      </c>
      <c r="T33" s="32">
        <v>0.48263888888888884</v>
      </c>
      <c r="U33" s="322">
        <f t="shared" si="26"/>
        <v>5.9999999999999787</v>
      </c>
      <c r="V33" s="328">
        <f t="shared" si="25"/>
        <v>84.000000000000028</v>
      </c>
      <c r="W33" s="16">
        <f>T33</f>
        <v>0.48263888888888884</v>
      </c>
      <c r="X33" s="16">
        <f>S34</f>
        <v>0.52361111111111103</v>
      </c>
      <c r="Y33" s="16"/>
      <c r="Z33" s="16"/>
      <c r="AA33" s="612"/>
      <c r="AB33" s="612"/>
      <c r="AC33" s="136"/>
      <c r="AD33" s="18"/>
      <c r="AE33" s="14">
        <f t="shared" si="8"/>
        <v>-110.71428571428669</v>
      </c>
      <c r="AF33" s="323">
        <f t="shared" si="9"/>
        <v>0.95386904761904723</v>
      </c>
      <c r="AG33" s="616"/>
    </row>
    <row r="34" spans="1:33" ht="15.75" customHeight="1">
      <c r="A34" s="633" t="s">
        <v>1638</v>
      </c>
      <c r="B34" s="27" t="s">
        <v>20</v>
      </c>
      <c r="C34" s="659" t="s">
        <v>57</v>
      </c>
      <c r="D34" s="659"/>
      <c r="E34" s="27">
        <v>26.18</v>
      </c>
      <c r="F34" s="329">
        <v>1592</v>
      </c>
      <c r="G34" s="322">
        <f t="shared" si="23"/>
        <v>41678.559999999998</v>
      </c>
      <c r="H34" s="31" t="s">
        <v>40</v>
      </c>
      <c r="I34" s="327">
        <v>18</v>
      </c>
      <c r="J34" s="29">
        <v>2400</v>
      </c>
      <c r="K34" s="12">
        <f t="shared" si="1"/>
        <v>133.33333333333334</v>
      </c>
      <c r="L34" s="327">
        <v>18</v>
      </c>
      <c r="M34" s="13">
        <f t="shared" si="24"/>
        <v>2329.7560975609749</v>
      </c>
      <c r="N34" s="12">
        <f t="shared" si="3"/>
        <v>129.43089430894304</v>
      </c>
      <c r="O34" s="14">
        <f t="shared" si="4"/>
        <v>0</v>
      </c>
      <c r="P34" s="15">
        <f t="shared" si="5"/>
        <v>-3.9024390243903042</v>
      </c>
      <c r="Q34" s="323">
        <f t="shared" si="6"/>
        <v>0.9707317073170727</v>
      </c>
      <c r="R34" s="616"/>
      <c r="S34" s="32">
        <v>0.52361111111111103</v>
      </c>
      <c r="T34" s="32">
        <v>0.55208333333333326</v>
      </c>
      <c r="U34" s="322">
        <f t="shared" si="26"/>
        <v>58.99999999999995</v>
      </c>
      <c r="V34" s="328">
        <f t="shared" si="25"/>
        <v>41.000000000000014</v>
      </c>
      <c r="W34" s="16"/>
      <c r="X34" s="16"/>
      <c r="Y34" s="16"/>
      <c r="Z34" s="16"/>
      <c r="AA34" s="612"/>
      <c r="AB34" s="612"/>
      <c r="AC34" s="136"/>
      <c r="AD34" s="18"/>
      <c r="AE34" s="14">
        <f t="shared" si="8"/>
        <v>-70.243902439025078</v>
      </c>
      <c r="AF34" s="323">
        <f t="shared" si="9"/>
        <v>0.97073170731707292</v>
      </c>
      <c r="AG34" s="616"/>
    </row>
    <row r="35" spans="1:33" ht="15.75" customHeight="1">
      <c r="A35" s="633" t="s">
        <v>1638</v>
      </c>
      <c r="B35" s="27" t="s">
        <v>1634</v>
      </c>
      <c r="C35" s="658"/>
      <c r="D35" s="658"/>
      <c r="E35" s="324"/>
      <c r="F35" s="329"/>
      <c r="G35" s="322"/>
      <c r="H35" s="329"/>
      <c r="I35" s="21">
        <v>17.333333333333332</v>
      </c>
      <c r="J35" s="29">
        <v>2400</v>
      </c>
      <c r="K35" s="12">
        <f t="shared" si="1"/>
        <v>138.46153846153848</v>
      </c>
      <c r="L35" s="21">
        <v>17.333333333333332</v>
      </c>
      <c r="M35" s="13">
        <f>AVERAGE(M29:M34)</f>
        <v>2296.0197635712043</v>
      </c>
      <c r="N35" s="12">
        <f t="shared" si="3"/>
        <v>132.46267866756949</v>
      </c>
      <c r="O35" s="14">
        <f t="shared" si="4"/>
        <v>0</v>
      </c>
      <c r="P35" s="15">
        <f t="shared" si="5"/>
        <v>-5.9988597939689896</v>
      </c>
      <c r="Q35" s="323">
        <f t="shared" si="6"/>
        <v>0.95667490148800172</v>
      </c>
      <c r="R35" s="616"/>
      <c r="S35" s="32"/>
      <c r="T35" s="32"/>
      <c r="U35" s="322"/>
      <c r="V35" s="328"/>
      <c r="W35" s="322"/>
      <c r="X35" s="322"/>
      <c r="Y35" s="22">
        <f>SUM(Y29:Y34)</f>
        <v>0</v>
      </c>
      <c r="Z35" s="22">
        <f>SUM(Z29:Z34)</f>
        <v>0</v>
      </c>
      <c r="AA35" s="611"/>
      <c r="AB35" s="611"/>
      <c r="AC35" s="22">
        <v>6</v>
      </c>
      <c r="AD35" s="22">
        <f>SUM(AD29:AD34)</f>
        <v>0</v>
      </c>
      <c r="AE35" s="14">
        <f t="shared" si="8"/>
        <v>-103.98023642879571</v>
      </c>
      <c r="AF35" s="323">
        <f t="shared" si="9"/>
        <v>0.95667490148800183</v>
      </c>
      <c r="AG35" s="616"/>
    </row>
    <row r="36" spans="1:33" ht="15.75" customHeight="1">
      <c r="A36" s="629" t="s">
        <v>1639</v>
      </c>
      <c r="B36" s="27" t="s">
        <v>20</v>
      </c>
      <c r="C36" s="660" t="s">
        <v>58</v>
      </c>
      <c r="D36" s="660"/>
      <c r="E36" s="27">
        <v>26.18</v>
      </c>
      <c r="F36" s="329">
        <v>4745</v>
      </c>
      <c r="G36" s="322">
        <f t="shared" ref="G36:G41" si="27">E36*F36</f>
        <v>124224.1</v>
      </c>
      <c r="H36" s="31" t="s">
        <v>40</v>
      </c>
      <c r="I36" s="327">
        <v>20</v>
      </c>
      <c r="J36" s="29">
        <v>2400</v>
      </c>
      <c r="K36" s="12">
        <f t="shared" si="1"/>
        <v>120</v>
      </c>
      <c r="L36" s="327">
        <v>20</v>
      </c>
      <c r="M36" s="13">
        <f t="shared" ref="M36:M41" si="28">F36/V36*60</f>
        <v>2295.9677419354834</v>
      </c>
      <c r="N36" s="12">
        <f t="shared" si="3"/>
        <v>114.79838709677418</v>
      </c>
      <c r="O36" s="14">
        <f t="shared" si="4"/>
        <v>0</v>
      </c>
      <c r="P36" s="15">
        <f t="shared" si="5"/>
        <v>-5.201612903225822</v>
      </c>
      <c r="Q36" s="323">
        <f t="shared" si="6"/>
        <v>0.95665322580645151</v>
      </c>
      <c r="R36" s="616">
        <f>Q42</f>
        <v>0.95430637020051312</v>
      </c>
      <c r="S36" s="32">
        <v>8.3333333333333329E-2</v>
      </c>
      <c r="T36" s="32">
        <v>0.16944444444444445</v>
      </c>
      <c r="U36" s="322"/>
      <c r="V36" s="328">
        <f t="shared" ref="V36:V41" si="29">(T36-S36)*24*60</f>
        <v>124.00000000000001</v>
      </c>
      <c r="W36" s="20">
        <f>T36</f>
        <v>0.16944444444444445</v>
      </c>
      <c r="X36" s="20">
        <f>S37</f>
        <v>0.18888888888888888</v>
      </c>
      <c r="Y36" s="20"/>
      <c r="Z36" s="20"/>
      <c r="AA36" s="612"/>
      <c r="AB36" s="612"/>
      <c r="AC36" s="136">
        <v>6</v>
      </c>
      <c r="AD36" s="18"/>
      <c r="AE36" s="14">
        <f t="shared" si="8"/>
        <v>-104.03225806451655</v>
      </c>
      <c r="AF36" s="323">
        <f t="shared" si="9"/>
        <v>0.9566532258064514</v>
      </c>
      <c r="AG36" s="616">
        <f>AF42</f>
        <v>0.95430637020051312</v>
      </c>
    </row>
    <row r="37" spans="1:33" ht="15.75" customHeight="1">
      <c r="A37" s="629" t="s">
        <v>1639</v>
      </c>
      <c r="B37" s="27" t="s">
        <v>20</v>
      </c>
      <c r="C37" s="660" t="s">
        <v>25</v>
      </c>
      <c r="D37" s="660"/>
      <c r="E37" s="27">
        <v>24.43</v>
      </c>
      <c r="F37" s="329">
        <v>3600</v>
      </c>
      <c r="G37" s="322">
        <f t="shared" si="27"/>
        <v>87948</v>
      </c>
      <c r="H37" s="31">
        <v>2</v>
      </c>
      <c r="I37" s="327">
        <v>14</v>
      </c>
      <c r="J37" s="29">
        <v>2400</v>
      </c>
      <c r="K37" s="12">
        <f t="shared" si="1"/>
        <v>171.42857142857142</v>
      </c>
      <c r="L37" s="327">
        <v>14</v>
      </c>
      <c r="M37" s="13">
        <f t="shared" si="28"/>
        <v>2297.872340425532</v>
      </c>
      <c r="N37" s="12">
        <f t="shared" si="3"/>
        <v>164.13373860182372</v>
      </c>
      <c r="O37" s="14">
        <f t="shared" si="4"/>
        <v>0</v>
      </c>
      <c r="P37" s="15">
        <f t="shared" si="5"/>
        <v>-7.2948328267476938</v>
      </c>
      <c r="Q37" s="323">
        <f t="shared" si="6"/>
        <v>0.95744680851063846</v>
      </c>
      <c r="R37" s="616"/>
      <c r="S37" s="32">
        <v>0.18888888888888888</v>
      </c>
      <c r="T37" s="32">
        <v>0.25416666666666665</v>
      </c>
      <c r="U37" s="322">
        <f t="shared" ref="U37:U41" si="30">(S37-T36)*24*60</f>
        <v>27.999999999999979</v>
      </c>
      <c r="V37" s="328">
        <f t="shared" si="29"/>
        <v>93.999999999999986</v>
      </c>
      <c r="W37" s="322"/>
      <c r="X37" s="322"/>
      <c r="Y37" s="322"/>
      <c r="Z37" s="322"/>
      <c r="AA37" s="612"/>
      <c r="AB37" s="612"/>
      <c r="AC37" s="136"/>
      <c r="AD37" s="18"/>
      <c r="AE37" s="14">
        <f t="shared" si="8"/>
        <v>-102.127659574468</v>
      </c>
      <c r="AF37" s="323">
        <f t="shared" si="9"/>
        <v>0.95744680851063835</v>
      </c>
      <c r="AG37" s="616"/>
    </row>
    <row r="38" spans="1:33">
      <c r="A38" s="630" t="s">
        <v>1639</v>
      </c>
      <c r="B38" s="27" t="s">
        <v>20</v>
      </c>
      <c r="C38" s="660" t="s">
        <v>83</v>
      </c>
      <c r="D38" s="660"/>
      <c r="E38" s="27">
        <v>25.98</v>
      </c>
      <c r="F38" s="329">
        <v>3165</v>
      </c>
      <c r="G38" s="322">
        <f t="shared" si="27"/>
        <v>82226.7</v>
      </c>
      <c r="H38" s="31" t="s">
        <v>40</v>
      </c>
      <c r="I38" s="327">
        <v>20</v>
      </c>
      <c r="J38" s="29">
        <v>2400</v>
      </c>
      <c r="K38" s="12">
        <f t="shared" si="1"/>
        <v>120</v>
      </c>
      <c r="L38" s="327">
        <v>20</v>
      </c>
      <c r="M38" s="13">
        <f t="shared" si="28"/>
        <v>2287.9518072289152</v>
      </c>
      <c r="N38" s="12">
        <f t="shared" si="3"/>
        <v>114.39759036144576</v>
      </c>
      <c r="O38" s="14">
        <f t="shared" si="4"/>
        <v>0</v>
      </c>
      <c r="P38" s="15">
        <f t="shared" si="5"/>
        <v>-5.602409638554235</v>
      </c>
      <c r="Q38" s="323">
        <f t="shared" si="6"/>
        <v>0.95331325301204806</v>
      </c>
      <c r="R38" s="616"/>
      <c r="S38" s="32">
        <v>0.2583333333333333</v>
      </c>
      <c r="T38" s="32">
        <v>0.31597222222222221</v>
      </c>
      <c r="U38" s="322">
        <f t="shared" si="30"/>
        <v>5.9999999999999787</v>
      </c>
      <c r="V38" s="328">
        <f t="shared" si="29"/>
        <v>83.000000000000028</v>
      </c>
      <c r="W38" s="322"/>
      <c r="X38" s="322"/>
      <c r="Y38" s="322"/>
      <c r="Z38" s="322"/>
      <c r="AA38" s="612"/>
      <c r="AB38" s="612"/>
      <c r="AC38" s="136"/>
      <c r="AD38" s="18"/>
      <c r="AE38" s="14">
        <f t="shared" si="8"/>
        <v>-112.04819277108481</v>
      </c>
      <c r="AF38" s="323">
        <f t="shared" si="9"/>
        <v>0.95331325301204795</v>
      </c>
      <c r="AG38" s="616"/>
    </row>
    <row r="39" spans="1:33">
      <c r="A39" s="630" t="s">
        <v>1639</v>
      </c>
      <c r="B39" s="27" t="s">
        <v>20</v>
      </c>
      <c r="C39" s="660" t="s">
        <v>26</v>
      </c>
      <c r="D39" s="660"/>
      <c r="E39" s="27">
        <v>34.1</v>
      </c>
      <c r="F39" s="329">
        <v>4935</v>
      </c>
      <c r="G39" s="322">
        <f t="shared" si="27"/>
        <v>168283.5</v>
      </c>
      <c r="H39" s="31" t="s">
        <v>40</v>
      </c>
      <c r="I39" s="327">
        <v>17</v>
      </c>
      <c r="J39" s="29">
        <v>1600</v>
      </c>
      <c r="K39" s="12">
        <f t="shared" si="1"/>
        <v>94.117647058823536</v>
      </c>
      <c r="L39" s="327">
        <v>17</v>
      </c>
      <c r="M39" s="13">
        <f t="shared" si="28"/>
        <v>1526.288659793815</v>
      </c>
      <c r="N39" s="12">
        <f t="shared" si="3"/>
        <v>89.781685870224408</v>
      </c>
      <c r="O39" s="14">
        <f t="shared" si="4"/>
        <v>0</v>
      </c>
      <c r="P39" s="15">
        <f t="shared" si="5"/>
        <v>-4.3359611885991285</v>
      </c>
      <c r="Q39" s="323">
        <f t="shared" si="6"/>
        <v>0.9539304123711343</v>
      </c>
      <c r="R39" s="616"/>
      <c r="S39" s="32">
        <v>0.32013888888888886</v>
      </c>
      <c r="T39" s="32">
        <v>0.45486111111111105</v>
      </c>
      <c r="U39" s="322">
        <f t="shared" si="30"/>
        <v>5.9999999999999787</v>
      </c>
      <c r="V39" s="328">
        <f t="shared" si="29"/>
        <v>193.99999999999994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-73.711340206185014</v>
      </c>
      <c r="AF39" s="323">
        <f t="shared" si="9"/>
        <v>0.95393041237113441</v>
      </c>
      <c r="AG39" s="616"/>
    </row>
    <row r="40" spans="1:33">
      <c r="A40" s="630" t="s">
        <v>1639</v>
      </c>
      <c r="B40" s="27" t="s">
        <v>20</v>
      </c>
      <c r="C40" s="660" t="s">
        <v>64</v>
      </c>
      <c r="D40" s="660"/>
      <c r="E40" s="27">
        <v>20.21</v>
      </c>
      <c r="F40" s="329">
        <v>2094</v>
      </c>
      <c r="G40" s="322">
        <f t="shared" si="27"/>
        <v>42319.740000000005</v>
      </c>
      <c r="H40" s="31" t="s">
        <v>40</v>
      </c>
      <c r="I40" s="327">
        <v>18</v>
      </c>
      <c r="J40" s="29">
        <v>2400</v>
      </c>
      <c r="K40" s="12">
        <f t="shared" si="1"/>
        <v>133.33333333333334</v>
      </c>
      <c r="L40" s="327">
        <v>18</v>
      </c>
      <c r="M40" s="13">
        <f t="shared" si="28"/>
        <v>2284.3636363636379</v>
      </c>
      <c r="N40" s="12">
        <f t="shared" si="3"/>
        <v>126.90909090909099</v>
      </c>
      <c r="O40" s="14">
        <f t="shared" si="4"/>
        <v>0</v>
      </c>
      <c r="P40" s="15">
        <f t="shared" si="5"/>
        <v>-6.424242424242351</v>
      </c>
      <c r="Q40" s="323">
        <f t="shared" si="6"/>
        <v>0.95181818181818234</v>
      </c>
      <c r="R40" s="616"/>
      <c r="S40" s="32">
        <v>0.45833333333333326</v>
      </c>
      <c r="T40" s="32">
        <v>0.49652777777777768</v>
      </c>
      <c r="U40" s="322">
        <f t="shared" si="30"/>
        <v>4.9999999999999822</v>
      </c>
      <c r="V40" s="328">
        <f t="shared" si="29"/>
        <v>54.999999999999964</v>
      </c>
      <c r="W40" s="16">
        <f>T40</f>
        <v>0.49652777777777768</v>
      </c>
      <c r="X40" s="16">
        <f>S41</f>
        <v>0.5347222222222221</v>
      </c>
      <c r="Y40" s="16"/>
      <c r="Z40" s="16"/>
      <c r="AA40" s="612"/>
      <c r="AB40" s="612"/>
      <c r="AC40" s="136"/>
      <c r="AD40" s="18"/>
      <c r="AE40" s="14">
        <f t="shared" si="8"/>
        <v>-115.63636363636215</v>
      </c>
      <c r="AF40" s="323">
        <f t="shared" si="9"/>
        <v>0.95181818181818245</v>
      </c>
      <c r="AG40" s="616"/>
    </row>
    <row r="41" spans="1:33">
      <c r="A41" s="630" t="s">
        <v>1639</v>
      </c>
      <c r="B41" s="27" t="s">
        <v>20</v>
      </c>
      <c r="C41" s="660" t="s">
        <v>25</v>
      </c>
      <c r="D41" s="660"/>
      <c r="E41" s="27">
        <v>24.43</v>
      </c>
      <c r="F41" s="329">
        <v>1867</v>
      </c>
      <c r="G41" s="322">
        <f t="shared" si="27"/>
        <v>45610.81</v>
      </c>
      <c r="H41" s="31" t="s">
        <v>40</v>
      </c>
      <c r="I41" s="327">
        <v>14</v>
      </c>
      <c r="J41" s="29">
        <v>2400</v>
      </c>
      <c r="K41" s="12">
        <f t="shared" si="1"/>
        <v>171.42857142857142</v>
      </c>
      <c r="L41" s="327">
        <v>14</v>
      </c>
      <c r="M41" s="13">
        <f t="shared" si="28"/>
        <v>2286.1224489795927</v>
      </c>
      <c r="N41" s="12">
        <f t="shared" si="3"/>
        <v>163.29446064139947</v>
      </c>
      <c r="O41" s="14">
        <f t="shared" si="4"/>
        <v>0</v>
      </c>
      <c r="P41" s="15">
        <f t="shared" si="5"/>
        <v>-8.1341107871719487</v>
      </c>
      <c r="Q41" s="323">
        <f t="shared" si="6"/>
        <v>0.95255102040816364</v>
      </c>
      <c r="R41" s="616"/>
      <c r="S41" s="32">
        <v>0.5347222222222221</v>
      </c>
      <c r="T41" s="32">
        <v>0.56874999999999987</v>
      </c>
      <c r="U41" s="322">
        <f t="shared" si="30"/>
        <v>54.999999999999964</v>
      </c>
      <c r="V41" s="328">
        <f t="shared" si="29"/>
        <v>48.999999999999986</v>
      </c>
      <c r="W41" s="16"/>
      <c r="X41" s="16"/>
      <c r="Y41" s="16"/>
      <c r="Z41" s="16"/>
      <c r="AA41" s="612"/>
      <c r="AB41" s="612"/>
      <c r="AC41" s="136"/>
      <c r="AD41" s="18"/>
      <c r="AE41" s="14">
        <f t="shared" si="8"/>
        <v>-113.87755102040728</v>
      </c>
      <c r="AF41" s="323">
        <f t="shared" si="9"/>
        <v>0.95255102040816364</v>
      </c>
      <c r="AG41" s="616"/>
    </row>
    <row r="42" spans="1:33">
      <c r="A42" s="630" t="s">
        <v>1639</v>
      </c>
      <c r="B42" s="28" t="s">
        <v>1634</v>
      </c>
      <c r="C42" s="658"/>
      <c r="D42" s="658"/>
      <c r="E42" s="324"/>
      <c r="F42" s="28"/>
      <c r="G42" s="12"/>
      <c r="H42" s="329"/>
      <c r="I42" s="21">
        <v>17.166666666666668</v>
      </c>
      <c r="J42" s="29">
        <v>2266.6666666666665</v>
      </c>
      <c r="K42" s="12">
        <f t="shared" si="1"/>
        <v>132.03883495145629</v>
      </c>
      <c r="L42" s="21">
        <v>17.166666666666668</v>
      </c>
      <c r="M42" s="13">
        <f>AVERAGE(M36:M41)</f>
        <v>2163.0944391211628</v>
      </c>
      <c r="N42" s="12">
        <f t="shared" si="3"/>
        <v>126.0055013080289</v>
      </c>
      <c r="O42" s="14">
        <f t="shared" si="4"/>
        <v>0</v>
      </c>
      <c r="P42" s="15">
        <f t="shared" si="5"/>
        <v>-6.0333336434273974</v>
      </c>
      <c r="Q42" s="323">
        <f t="shared" si="6"/>
        <v>0.95430637020051312</v>
      </c>
      <c r="R42" s="616"/>
      <c r="S42" s="32"/>
      <c r="T42" s="32"/>
      <c r="U42" s="12"/>
      <c r="V42" s="328"/>
      <c r="W42" s="12"/>
      <c r="X42" s="12"/>
      <c r="Y42" s="22">
        <f>SUM(Y36:Y41)</f>
        <v>0</v>
      </c>
      <c r="Z42" s="22">
        <f>SUM(Z36:Z41)</f>
        <v>0</v>
      </c>
      <c r="AA42" s="611"/>
      <c r="AB42" s="611"/>
      <c r="AC42" s="22">
        <v>6</v>
      </c>
      <c r="AD42" s="22">
        <f>SUM(AD36:AD41)</f>
        <v>0</v>
      </c>
      <c r="AE42" s="14">
        <f t="shared" si="8"/>
        <v>-103.57222754550367</v>
      </c>
      <c r="AF42" s="323">
        <f t="shared" si="9"/>
        <v>0.95430637020051312</v>
      </c>
      <c r="AG42" s="616"/>
    </row>
    <row r="43" spans="1:33" ht="15.75" customHeight="1">
      <c r="A43" s="623" t="s">
        <v>1640</v>
      </c>
      <c r="B43" s="27" t="s">
        <v>27</v>
      </c>
      <c r="C43" s="605" t="s">
        <v>33</v>
      </c>
      <c r="D43" s="606"/>
      <c r="E43" s="27">
        <v>34.36</v>
      </c>
      <c r="F43" s="329">
        <v>1860</v>
      </c>
      <c r="G43" s="322">
        <f t="shared" ref="G43:G46" si="31">E43*F43</f>
        <v>63909.599999999999</v>
      </c>
      <c r="H43" s="31" t="s">
        <v>40</v>
      </c>
      <c r="I43" s="327">
        <v>10</v>
      </c>
      <c r="J43" s="29">
        <v>3000</v>
      </c>
      <c r="K43" s="12">
        <f t="shared" si="1"/>
        <v>300</v>
      </c>
      <c r="L43" s="327">
        <v>10</v>
      </c>
      <c r="M43" s="13">
        <f t="shared" ref="M43:M46" si="32">F43/V43*60</f>
        <v>2861.5384615384633</v>
      </c>
      <c r="N43" s="13">
        <f t="shared" si="3"/>
        <v>286.1538461538463</v>
      </c>
      <c r="O43" s="14">
        <f t="shared" si="4"/>
        <v>0</v>
      </c>
      <c r="P43" s="15">
        <f t="shared" si="5"/>
        <v>-13.846153846153697</v>
      </c>
      <c r="Q43" s="323">
        <f t="shared" si="6"/>
        <v>0.95384615384615434</v>
      </c>
      <c r="R43" s="626">
        <f>Q47</f>
        <v>0.95703041144901613</v>
      </c>
      <c r="S43" s="32">
        <v>0.20833333333333334</v>
      </c>
      <c r="T43" s="32">
        <v>0.23541666666666666</v>
      </c>
      <c r="U43" s="20"/>
      <c r="V43" s="328">
        <f t="shared" ref="V43:V46" si="33">(T43-S43)*24*60</f>
        <v>38.999999999999979</v>
      </c>
      <c r="W43" s="16"/>
      <c r="X43" s="16"/>
      <c r="Y43" s="19"/>
      <c r="Z43" s="19"/>
      <c r="AA43" s="607"/>
      <c r="AB43" s="608"/>
      <c r="AC43" s="136">
        <v>4</v>
      </c>
      <c r="AD43" s="18"/>
      <c r="AE43" s="14">
        <f t="shared" si="8"/>
        <v>-138.46153846153675</v>
      </c>
      <c r="AF43" s="323">
        <f t="shared" si="9"/>
        <v>0.95384615384615445</v>
      </c>
      <c r="AG43" s="626">
        <f>AF47</f>
        <v>0.95703041144901602</v>
      </c>
    </row>
    <row r="44" spans="1:33" ht="15.75" customHeight="1">
      <c r="A44" s="624" t="s">
        <v>1640</v>
      </c>
      <c r="B44" s="27" t="s">
        <v>27</v>
      </c>
      <c r="C44" s="605" t="s">
        <v>29</v>
      </c>
      <c r="D44" s="606"/>
      <c r="E44" s="27">
        <v>21.13</v>
      </c>
      <c r="F44" s="329">
        <v>4361</v>
      </c>
      <c r="G44" s="322">
        <f t="shared" si="31"/>
        <v>92147.93</v>
      </c>
      <c r="H44" s="31" t="s">
        <v>40</v>
      </c>
      <c r="I44" s="327">
        <v>10</v>
      </c>
      <c r="J44" s="29">
        <v>3000</v>
      </c>
      <c r="K44" s="12">
        <f t="shared" si="1"/>
        <v>300</v>
      </c>
      <c r="L44" s="327">
        <v>10</v>
      </c>
      <c r="M44" s="13">
        <f t="shared" si="32"/>
        <v>2875.3846153846139</v>
      </c>
      <c r="N44" s="13">
        <f t="shared" si="3"/>
        <v>287.53846153846138</v>
      </c>
      <c r="O44" s="14">
        <f t="shared" si="4"/>
        <v>0</v>
      </c>
      <c r="P44" s="15">
        <f t="shared" si="5"/>
        <v>-12.461538461538623</v>
      </c>
      <c r="Q44" s="323">
        <f t="shared" si="6"/>
        <v>0.95846153846153792</v>
      </c>
      <c r="R44" s="627"/>
      <c r="S44" s="32">
        <v>0.24027777777777778</v>
      </c>
      <c r="T44" s="32">
        <v>0.30347222222222225</v>
      </c>
      <c r="U44" s="322">
        <f t="shared" ref="U44:U46" si="34">(S44-T43)*24*60</f>
        <v>7.0000000000000151</v>
      </c>
      <c r="V44" s="328">
        <f t="shared" si="33"/>
        <v>91.000000000000043</v>
      </c>
      <c r="W44" s="16"/>
      <c r="X44" s="16"/>
      <c r="Y44" s="19"/>
      <c r="Z44" s="19"/>
      <c r="AA44" s="607"/>
      <c r="AB44" s="608"/>
      <c r="AC44" s="136"/>
      <c r="AD44" s="18"/>
      <c r="AE44" s="14">
        <f t="shared" si="8"/>
        <v>-124.61538461538612</v>
      </c>
      <c r="AF44" s="323">
        <f t="shared" si="9"/>
        <v>0.95846153846153792</v>
      </c>
      <c r="AG44" s="627"/>
    </row>
    <row r="45" spans="1:33" ht="15.75" customHeight="1">
      <c r="A45" s="624" t="s">
        <v>1640</v>
      </c>
      <c r="B45" s="27" t="s">
        <v>27</v>
      </c>
      <c r="C45" s="605" t="s">
        <v>30</v>
      </c>
      <c r="D45" s="606"/>
      <c r="E45" s="27">
        <v>27.17</v>
      </c>
      <c r="F45" s="329">
        <v>4106</v>
      </c>
      <c r="G45" s="322">
        <f t="shared" si="31"/>
        <v>111560.02</v>
      </c>
      <c r="H45" s="31" t="s">
        <v>40</v>
      </c>
      <c r="I45" s="327">
        <v>10</v>
      </c>
      <c r="J45" s="29">
        <v>3000</v>
      </c>
      <c r="K45" s="12">
        <f t="shared" si="1"/>
        <v>300</v>
      </c>
      <c r="L45" s="327">
        <v>10</v>
      </c>
      <c r="M45" s="13">
        <f t="shared" si="32"/>
        <v>2864.6511627906975</v>
      </c>
      <c r="N45" s="13">
        <f t="shared" si="3"/>
        <v>286.46511627906978</v>
      </c>
      <c r="O45" s="14">
        <f t="shared" si="4"/>
        <v>0</v>
      </c>
      <c r="P45" s="15">
        <f t="shared" si="5"/>
        <v>-13.534883720930225</v>
      </c>
      <c r="Q45" s="323">
        <f t="shared" si="6"/>
        <v>0.95488372093023255</v>
      </c>
      <c r="R45" s="627"/>
      <c r="S45" s="32">
        <v>0.30902777777777779</v>
      </c>
      <c r="T45" s="32">
        <v>0.36875000000000002</v>
      </c>
      <c r="U45" s="322">
        <f t="shared" si="34"/>
        <v>7.9999999999999716</v>
      </c>
      <c r="V45" s="328">
        <f t="shared" si="33"/>
        <v>86.000000000000014</v>
      </c>
      <c r="W45" s="16"/>
      <c r="X45" s="16"/>
      <c r="Y45" s="19"/>
      <c r="Z45" s="19"/>
      <c r="AA45" s="607"/>
      <c r="AB45" s="608"/>
      <c r="AC45" s="136"/>
      <c r="AD45" s="18"/>
      <c r="AE45" s="14">
        <f t="shared" si="8"/>
        <v>-135.34883720930247</v>
      </c>
      <c r="AF45" s="323">
        <f t="shared" si="9"/>
        <v>0.95488372093023255</v>
      </c>
      <c r="AG45" s="627"/>
    </row>
    <row r="46" spans="1:33" ht="15.75" customHeight="1">
      <c r="A46" s="624" t="s">
        <v>1640</v>
      </c>
      <c r="B46" s="27" t="s">
        <v>27</v>
      </c>
      <c r="C46" s="605" t="s">
        <v>35</v>
      </c>
      <c r="D46" s="606"/>
      <c r="E46" s="27">
        <v>35.869999999999997</v>
      </c>
      <c r="F46" s="329">
        <v>2066</v>
      </c>
      <c r="G46" s="322">
        <f t="shared" si="31"/>
        <v>74107.42</v>
      </c>
      <c r="H46" s="31" t="s">
        <v>40</v>
      </c>
      <c r="I46" s="327">
        <v>9</v>
      </c>
      <c r="J46" s="29">
        <v>3000</v>
      </c>
      <c r="K46" s="12">
        <f t="shared" si="1"/>
        <v>333.33333333333331</v>
      </c>
      <c r="L46" s="327">
        <v>9</v>
      </c>
      <c r="M46" s="13">
        <f t="shared" si="32"/>
        <v>2882.790697674418</v>
      </c>
      <c r="N46" s="13">
        <f t="shared" si="3"/>
        <v>320.31007751937977</v>
      </c>
      <c r="O46" s="14">
        <f t="shared" si="4"/>
        <v>0</v>
      </c>
      <c r="P46" s="15">
        <f t="shared" si="5"/>
        <v>-13.02325581395354</v>
      </c>
      <c r="Q46" s="323">
        <f t="shared" si="6"/>
        <v>0.96093023255813936</v>
      </c>
      <c r="R46" s="627"/>
      <c r="S46" s="32">
        <v>0.37361111111111112</v>
      </c>
      <c r="T46" s="32">
        <v>0.40347222222222223</v>
      </c>
      <c r="U46" s="322">
        <f t="shared" si="34"/>
        <v>6.9999999999999751</v>
      </c>
      <c r="V46" s="328">
        <f t="shared" si="33"/>
        <v>43.000000000000007</v>
      </c>
      <c r="W46" s="16"/>
      <c r="X46" s="16"/>
      <c r="Y46" s="19"/>
      <c r="Z46" s="19"/>
      <c r="AA46" s="607"/>
      <c r="AB46" s="608"/>
      <c r="AC46" s="136"/>
      <c r="AD46" s="18"/>
      <c r="AE46" s="14">
        <f t="shared" si="8"/>
        <v>-117.20930232558203</v>
      </c>
      <c r="AF46" s="323">
        <f t="shared" si="9"/>
        <v>0.96093023255813936</v>
      </c>
      <c r="AG46" s="627"/>
    </row>
    <row r="47" spans="1:33" ht="15.75" customHeight="1">
      <c r="A47" s="625" t="s">
        <v>1640</v>
      </c>
      <c r="B47" s="27" t="s">
        <v>1634</v>
      </c>
      <c r="C47" s="609"/>
      <c r="D47" s="610"/>
      <c r="E47" s="320"/>
      <c r="F47" s="329"/>
      <c r="G47" s="322"/>
      <c r="H47" s="329"/>
      <c r="I47" s="21">
        <v>9.75</v>
      </c>
      <c r="J47" s="29">
        <v>3000</v>
      </c>
      <c r="K47" s="12">
        <f t="shared" si="1"/>
        <v>307.69230769230768</v>
      </c>
      <c r="L47" s="21">
        <v>9.75</v>
      </c>
      <c r="M47" s="13">
        <f>AVERAGE(M43:M46)</f>
        <v>2871.0912343470482</v>
      </c>
      <c r="N47" s="12">
        <f t="shared" si="3"/>
        <v>294.47089583046647</v>
      </c>
      <c r="O47" s="14">
        <f t="shared" si="4"/>
        <v>0</v>
      </c>
      <c r="P47" s="15">
        <f t="shared" si="5"/>
        <v>-13.221411861841204</v>
      </c>
      <c r="Q47" s="323">
        <f t="shared" si="6"/>
        <v>0.95703041144901613</v>
      </c>
      <c r="R47" s="628"/>
      <c r="S47" s="32"/>
      <c r="T47" s="32"/>
      <c r="U47" s="322"/>
      <c r="V47" s="328"/>
      <c r="W47" s="16"/>
      <c r="X47" s="16"/>
      <c r="Y47" s="22">
        <f>SUM(Y43:Y46)</f>
        <v>0</v>
      </c>
      <c r="Z47" s="22">
        <f>SUM(Z43:Z46)</f>
        <v>0</v>
      </c>
      <c r="AA47" s="619"/>
      <c r="AB47" s="620"/>
      <c r="AC47" s="22">
        <v>4</v>
      </c>
      <c r="AD47" s="22">
        <f>SUM(AD43:AD46)</f>
        <v>0</v>
      </c>
      <c r="AE47" s="14">
        <f t="shared" si="8"/>
        <v>-128.90876565295184</v>
      </c>
      <c r="AF47" s="323">
        <f t="shared" si="9"/>
        <v>0.95703041144901602</v>
      </c>
      <c r="AG47" s="628"/>
    </row>
    <row r="48" spans="1:33" ht="15.75" customHeight="1">
      <c r="A48" s="621" t="s">
        <v>1641</v>
      </c>
      <c r="B48" s="27" t="s">
        <v>5</v>
      </c>
      <c r="C48" s="660" t="s">
        <v>15</v>
      </c>
      <c r="D48" s="660"/>
      <c r="E48" s="27">
        <v>59.04</v>
      </c>
      <c r="F48" s="30">
        <v>1541</v>
      </c>
      <c r="G48" s="322">
        <f t="shared" ref="G48:G55" si="35">E48*F48</f>
        <v>90980.64</v>
      </c>
      <c r="H48" s="31" t="s">
        <v>40</v>
      </c>
      <c r="I48" s="327">
        <v>19</v>
      </c>
      <c r="J48" s="29">
        <v>2000</v>
      </c>
      <c r="K48" s="12">
        <f t="shared" si="1"/>
        <v>105.26315789473684</v>
      </c>
      <c r="L48" s="327">
        <v>19</v>
      </c>
      <c r="M48" s="13">
        <f t="shared" ref="M48" si="36">F48/V48*60</f>
        <v>1926.2500000000007</v>
      </c>
      <c r="N48" s="13">
        <f t="shared" si="3"/>
        <v>101.38157894736845</v>
      </c>
      <c r="O48" s="14">
        <f t="shared" si="4"/>
        <v>0</v>
      </c>
      <c r="P48" s="15">
        <f t="shared" si="5"/>
        <v>-3.8815789473683822</v>
      </c>
      <c r="Q48" s="323">
        <f t="shared" si="6"/>
        <v>0.96312500000000034</v>
      </c>
      <c r="R48" s="616">
        <f>Q56</f>
        <v>0.95997996120852003</v>
      </c>
      <c r="S48" s="32">
        <v>0.20833333333333334</v>
      </c>
      <c r="T48" s="32">
        <v>0.24166666666666667</v>
      </c>
      <c r="U48" s="20"/>
      <c r="V48" s="328">
        <f t="shared" ref="V48:V55" si="37">(T48-S48)*24*60</f>
        <v>47.999999999999986</v>
      </c>
      <c r="W48" s="16"/>
      <c r="X48" s="16"/>
      <c r="Y48" s="20"/>
      <c r="Z48" s="20"/>
      <c r="AA48" s="612"/>
      <c r="AB48" s="612"/>
      <c r="AC48" s="136">
        <v>8</v>
      </c>
      <c r="AD48" s="18"/>
      <c r="AE48" s="14">
        <f t="shared" si="8"/>
        <v>-73.749999999999318</v>
      </c>
      <c r="AF48" s="323">
        <f t="shared" si="9"/>
        <v>0.96312500000000034</v>
      </c>
      <c r="AG48" s="616">
        <f>AF56</f>
        <v>0.95997996120852003</v>
      </c>
    </row>
    <row r="49" spans="1:33" ht="15.75" customHeight="1">
      <c r="A49" s="621" t="s">
        <v>1641</v>
      </c>
      <c r="B49" s="27" t="s">
        <v>5</v>
      </c>
      <c r="C49" s="660" t="s">
        <v>31</v>
      </c>
      <c r="D49" s="660"/>
      <c r="E49" s="27">
        <v>56.43</v>
      </c>
      <c r="F49" s="30">
        <v>1064</v>
      </c>
      <c r="G49" s="322">
        <f t="shared" si="35"/>
        <v>60041.52</v>
      </c>
      <c r="H49" s="31" t="s">
        <v>40</v>
      </c>
      <c r="I49" s="327">
        <v>22</v>
      </c>
      <c r="J49" s="29">
        <v>2000</v>
      </c>
      <c r="K49" s="12">
        <f t="shared" si="1"/>
        <v>90.909090909090907</v>
      </c>
      <c r="L49" s="327">
        <v>22</v>
      </c>
      <c r="M49" s="13">
        <f>F49/V49*60</f>
        <v>1934.545454545452</v>
      </c>
      <c r="N49" s="13">
        <f t="shared" si="3"/>
        <v>87.933884297520549</v>
      </c>
      <c r="O49" s="14">
        <f t="shared" si="4"/>
        <v>0</v>
      </c>
      <c r="P49" s="15">
        <f t="shared" si="5"/>
        <v>-2.975206611570357</v>
      </c>
      <c r="Q49" s="323">
        <f t="shared" si="6"/>
        <v>0.96727272727272606</v>
      </c>
      <c r="R49" s="616"/>
      <c r="S49" s="32">
        <v>0.24583333333333335</v>
      </c>
      <c r="T49" s="32">
        <v>0.26875000000000004</v>
      </c>
      <c r="U49" s="322">
        <f t="shared" ref="U49:U55" si="38">IF(S49=TIME(17,0,0),"",(S49-T48)*24*60)</f>
        <v>6.0000000000000187</v>
      </c>
      <c r="V49" s="328">
        <f t="shared" si="37"/>
        <v>33.000000000000043</v>
      </c>
      <c r="W49" s="16"/>
      <c r="X49" s="16"/>
      <c r="Y49" s="16"/>
      <c r="Z49" s="16"/>
      <c r="AA49" s="612"/>
      <c r="AB49" s="612"/>
      <c r="AC49" s="136"/>
      <c r="AD49" s="18"/>
      <c r="AE49" s="14">
        <f t="shared" si="8"/>
        <v>-65.454545454547997</v>
      </c>
      <c r="AF49" s="323">
        <f t="shared" si="9"/>
        <v>0.96727272727272595</v>
      </c>
      <c r="AG49" s="616"/>
    </row>
    <row r="50" spans="1:33" ht="15.75" customHeight="1">
      <c r="A50" s="621" t="s">
        <v>1641</v>
      </c>
      <c r="B50" s="27" t="s">
        <v>5</v>
      </c>
      <c r="C50" s="605" t="s">
        <v>81</v>
      </c>
      <c r="D50" s="606"/>
      <c r="E50" s="27">
        <v>51.44</v>
      </c>
      <c r="F50" s="30">
        <v>1577</v>
      </c>
      <c r="G50" s="322">
        <f t="shared" si="35"/>
        <v>81120.87999999999</v>
      </c>
      <c r="H50" s="31" t="s">
        <v>40</v>
      </c>
      <c r="I50" s="327">
        <v>25</v>
      </c>
      <c r="J50" s="29">
        <v>2000</v>
      </c>
      <c r="K50" s="12">
        <f t="shared" si="1"/>
        <v>80</v>
      </c>
      <c r="L50" s="327">
        <v>25</v>
      </c>
      <c r="M50" s="13">
        <f t="shared" ref="M50:M55" si="39">F50/V50*60</f>
        <v>1931.0204081632658</v>
      </c>
      <c r="N50" s="13">
        <f t="shared" si="3"/>
        <v>77.240816326530634</v>
      </c>
      <c r="O50" s="14">
        <f t="shared" si="4"/>
        <v>0</v>
      </c>
      <c r="P50" s="15">
        <f t="shared" si="5"/>
        <v>-2.7591836734693658</v>
      </c>
      <c r="Q50" s="323">
        <f t="shared" si="6"/>
        <v>0.96551020408163291</v>
      </c>
      <c r="R50" s="616"/>
      <c r="S50" s="32">
        <v>0.2729166666666667</v>
      </c>
      <c r="T50" s="32">
        <v>0.30694444444444446</v>
      </c>
      <c r="U50" s="322">
        <f t="shared" si="38"/>
        <v>5.9999999999999787</v>
      </c>
      <c r="V50" s="328">
        <f t="shared" si="37"/>
        <v>48.999999999999986</v>
      </c>
      <c r="W50" s="16"/>
      <c r="X50" s="16"/>
      <c r="Y50" s="19"/>
      <c r="Z50" s="19"/>
      <c r="AA50" s="612"/>
      <c r="AB50" s="612"/>
      <c r="AC50" s="136"/>
      <c r="AD50" s="18"/>
      <c r="AE50" s="14">
        <f t="shared" si="8"/>
        <v>-68.979591836734244</v>
      </c>
      <c r="AF50" s="323">
        <f t="shared" si="9"/>
        <v>0.96551020408163291</v>
      </c>
      <c r="AG50" s="616"/>
    </row>
    <row r="51" spans="1:33" ht="15.75" customHeight="1">
      <c r="A51" s="621" t="s">
        <v>1641</v>
      </c>
      <c r="B51" s="27" t="s">
        <v>8</v>
      </c>
      <c r="C51" s="316" t="s">
        <v>61</v>
      </c>
      <c r="D51" s="317"/>
      <c r="E51" s="27">
        <v>46</v>
      </c>
      <c r="F51" s="30">
        <v>1714</v>
      </c>
      <c r="G51" s="322">
        <f t="shared" si="35"/>
        <v>78844</v>
      </c>
      <c r="H51" s="31" t="s">
        <v>40</v>
      </c>
      <c r="I51" s="327">
        <v>16</v>
      </c>
      <c r="J51" s="29">
        <v>2000</v>
      </c>
      <c r="K51" s="12">
        <f t="shared" si="1"/>
        <v>125</v>
      </c>
      <c r="L51" s="327">
        <v>16</v>
      </c>
      <c r="M51" s="13">
        <f t="shared" si="39"/>
        <v>1904.4444444444455</v>
      </c>
      <c r="N51" s="13">
        <f t="shared" si="3"/>
        <v>119.02777777777784</v>
      </c>
      <c r="O51" s="14">
        <f t="shared" si="4"/>
        <v>0</v>
      </c>
      <c r="P51" s="15">
        <f t="shared" si="5"/>
        <v>-5.9722222222221575</v>
      </c>
      <c r="Q51" s="323">
        <f t="shared" si="6"/>
        <v>0.95222222222222275</v>
      </c>
      <c r="R51" s="616"/>
      <c r="S51" s="32">
        <v>0.3125</v>
      </c>
      <c r="T51" s="32">
        <v>0.35</v>
      </c>
      <c r="U51" s="322">
        <f t="shared" si="38"/>
        <v>7.9999999999999716</v>
      </c>
      <c r="V51" s="328">
        <f t="shared" si="37"/>
        <v>53.999999999999972</v>
      </c>
      <c r="W51" s="16"/>
      <c r="X51" s="16"/>
      <c r="Y51" s="19"/>
      <c r="Z51" s="19"/>
      <c r="AA51" s="612"/>
      <c r="AB51" s="612"/>
      <c r="AC51" s="136"/>
      <c r="AD51" s="18"/>
      <c r="AE51" s="14">
        <f t="shared" si="8"/>
        <v>-95.55555555555452</v>
      </c>
      <c r="AF51" s="323">
        <f t="shared" si="9"/>
        <v>0.95222222222222275</v>
      </c>
      <c r="AG51" s="616"/>
    </row>
    <row r="52" spans="1:33" ht="15.75" customHeight="1">
      <c r="A52" s="621" t="s">
        <v>1641</v>
      </c>
      <c r="B52" s="27" t="s">
        <v>8</v>
      </c>
      <c r="C52" s="316" t="s">
        <v>79</v>
      </c>
      <c r="D52" s="317"/>
      <c r="E52" s="27">
        <v>46</v>
      </c>
      <c r="F52" s="30">
        <v>2115</v>
      </c>
      <c r="G52" s="322">
        <f t="shared" si="35"/>
        <v>97290</v>
      </c>
      <c r="H52" s="31" t="s">
        <v>40</v>
      </c>
      <c r="I52" s="327">
        <v>17</v>
      </c>
      <c r="J52" s="29">
        <v>2000</v>
      </c>
      <c r="K52" s="12">
        <f t="shared" si="1"/>
        <v>117.64705882352941</v>
      </c>
      <c r="L52" s="327">
        <v>17</v>
      </c>
      <c r="M52" s="13">
        <f t="shared" si="39"/>
        <v>1922.7272727272727</v>
      </c>
      <c r="N52" s="13">
        <f t="shared" si="3"/>
        <v>113.10160427807487</v>
      </c>
      <c r="O52" s="14">
        <f t="shared" si="4"/>
        <v>0</v>
      </c>
      <c r="P52" s="15">
        <f t="shared" si="5"/>
        <v>-4.5454545454545325</v>
      </c>
      <c r="Q52" s="323">
        <f t="shared" si="6"/>
        <v>0.96136363636363642</v>
      </c>
      <c r="R52" s="616"/>
      <c r="S52" s="32">
        <v>0.35416666666666663</v>
      </c>
      <c r="T52" s="32">
        <v>0.39999999999999997</v>
      </c>
      <c r="U52" s="322">
        <f t="shared" si="38"/>
        <v>5.9999999999999787</v>
      </c>
      <c r="V52" s="328">
        <f t="shared" si="37"/>
        <v>66</v>
      </c>
      <c r="W52" s="16"/>
      <c r="X52" s="16"/>
      <c r="Y52" s="19"/>
      <c r="Z52" s="19"/>
      <c r="AA52" s="612"/>
      <c r="AB52" s="612"/>
      <c r="AC52" s="136"/>
      <c r="AD52" s="18"/>
      <c r="AE52" s="14">
        <f t="shared" si="8"/>
        <v>-77.272727272727252</v>
      </c>
      <c r="AF52" s="323">
        <f t="shared" si="9"/>
        <v>0.96136363636363642</v>
      </c>
      <c r="AG52" s="616"/>
    </row>
    <row r="53" spans="1:33" ht="15.75" customHeight="1">
      <c r="A53" s="621" t="s">
        <v>1641</v>
      </c>
      <c r="B53" s="27" t="s">
        <v>5</v>
      </c>
      <c r="C53" s="605" t="s">
        <v>77</v>
      </c>
      <c r="D53" s="606"/>
      <c r="E53" s="27">
        <v>54.09</v>
      </c>
      <c r="F53" s="30">
        <v>988</v>
      </c>
      <c r="G53" s="322">
        <f t="shared" si="35"/>
        <v>53440.920000000006</v>
      </c>
      <c r="H53" s="31" t="s">
        <v>40</v>
      </c>
      <c r="I53" s="327">
        <v>13</v>
      </c>
      <c r="J53" s="29">
        <v>2000</v>
      </c>
      <c r="K53" s="12">
        <f t="shared" si="1"/>
        <v>153.84615384615384</v>
      </c>
      <c r="L53" s="327">
        <v>13</v>
      </c>
      <c r="M53" s="13">
        <f t="shared" si="39"/>
        <v>1912.2580645161261</v>
      </c>
      <c r="N53" s="13">
        <f t="shared" si="3"/>
        <v>147.09677419354816</v>
      </c>
      <c r="O53" s="14">
        <f t="shared" si="4"/>
        <v>0</v>
      </c>
      <c r="P53" s="15">
        <f t="shared" si="5"/>
        <v>-6.7493796526056826</v>
      </c>
      <c r="Q53" s="323">
        <f t="shared" si="6"/>
        <v>0.95612903225806312</v>
      </c>
      <c r="R53" s="616"/>
      <c r="S53" s="32">
        <v>0.70833333333333337</v>
      </c>
      <c r="T53" s="32">
        <v>0.72986111111111118</v>
      </c>
      <c r="U53" s="322" t="str">
        <f t="shared" si="38"/>
        <v/>
      </c>
      <c r="V53" s="328">
        <f t="shared" si="37"/>
        <v>31.00000000000005</v>
      </c>
      <c r="W53" s="16"/>
      <c r="X53" s="16"/>
      <c r="Y53" s="19"/>
      <c r="Z53" s="19"/>
      <c r="AA53" s="607"/>
      <c r="AB53" s="608"/>
      <c r="AC53" s="136"/>
      <c r="AD53" s="18"/>
      <c r="AE53" s="14">
        <f t="shared" si="8"/>
        <v>-87.741935483873931</v>
      </c>
      <c r="AF53" s="323">
        <f t="shared" si="9"/>
        <v>0.95612903225806301</v>
      </c>
      <c r="AG53" s="616"/>
    </row>
    <row r="54" spans="1:33" ht="15.75" customHeight="1">
      <c r="A54" s="621" t="s">
        <v>1641</v>
      </c>
      <c r="B54" s="27" t="s">
        <v>5</v>
      </c>
      <c r="C54" s="605" t="s">
        <v>62</v>
      </c>
      <c r="D54" s="606"/>
      <c r="E54" s="27">
        <v>51.06</v>
      </c>
      <c r="F54" s="30">
        <v>2640</v>
      </c>
      <c r="G54" s="322">
        <f t="shared" si="35"/>
        <v>134798.39999999999</v>
      </c>
      <c r="H54" s="31" t="s">
        <v>40</v>
      </c>
      <c r="I54" s="327">
        <v>13</v>
      </c>
      <c r="J54" s="29">
        <v>2000</v>
      </c>
      <c r="K54" s="12">
        <f t="shared" si="1"/>
        <v>153.84615384615384</v>
      </c>
      <c r="L54" s="327">
        <v>13</v>
      </c>
      <c r="M54" s="13">
        <f t="shared" si="39"/>
        <v>1908.4337349397586</v>
      </c>
      <c r="N54" s="13">
        <f t="shared" si="3"/>
        <v>146.80259499536604</v>
      </c>
      <c r="O54" s="14">
        <f t="shared" si="4"/>
        <v>0</v>
      </c>
      <c r="P54" s="15">
        <f t="shared" si="5"/>
        <v>-7.0435588507878037</v>
      </c>
      <c r="Q54" s="323">
        <f t="shared" si="6"/>
        <v>0.95421686746987933</v>
      </c>
      <c r="R54" s="616"/>
      <c r="S54" s="32">
        <v>0.73333333333333339</v>
      </c>
      <c r="T54" s="32">
        <v>0.7909722222222223</v>
      </c>
      <c r="U54" s="322">
        <f t="shared" si="38"/>
        <v>4.9999999999999822</v>
      </c>
      <c r="V54" s="328">
        <f t="shared" si="37"/>
        <v>83.000000000000028</v>
      </c>
      <c r="W54" s="16"/>
      <c r="X54" s="16"/>
      <c r="Y54" s="19"/>
      <c r="Z54" s="19"/>
      <c r="AA54" s="607"/>
      <c r="AB54" s="608"/>
      <c r="AC54" s="136"/>
      <c r="AD54" s="18"/>
      <c r="AE54" s="14">
        <f t="shared" si="8"/>
        <v>-91.566265060241449</v>
      </c>
      <c r="AF54" s="323">
        <f t="shared" si="9"/>
        <v>0.95421686746987933</v>
      </c>
      <c r="AG54" s="616"/>
    </row>
    <row r="55" spans="1:33" ht="15.75" customHeight="1">
      <c r="A55" s="621" t="s">
        <v>1641</v>
      </c>
      <c r="B55" s="27" t="s">
        <v>5</v>
      </c>
      <c r="C55" s="605" t="s">
        <v>7</v>
      </c>
      <c r="D55" s="606"/>
      <c r="E55" s="27">
        <v>50.67</v>
      </c>
      <c r="F55" s="30">
        <v>1216</v>
      </c>
      <c r="G55" s="322">
        <f t="shared" si="35"/>
        <v>61614.720000000001</v>
      </c>
      <c r="H55" s="31" t="s">
        <v>40</v>
      </c>
      <c r="I55" s="327">
        <v>15</v>
      </c>
      <c r="J55" s="29">
        <v>2000</v>
      </c>
      <c r="K55" s="12">
        <f t="shared" si="1"/>
        <v>133.33333333333334</v>
      </c>
      <c r="L55" s="327">
        <v>15</v>
      </c>
      <c r="M55" s="13">
        <f t="shared" si="39"/>
        <v>1919.9999999999984</v>
      </c>
      <c r="N55" s="13">
        <f t="shared" si="3"/>
        <v>127.9999999999999</v>
      </c>
      <c r="O55" s="14">
        <f t="shared" si="4"/>
        <v>0</v>
      </c>
      <c r="P55" s="15">
        <f t="shared" si="5"/>
        <v>-5.3333333333334423</v>
      </c>
      <c r="Q55" s="323">
        <f t="shared" si="6"/>
        <v>0.95999999999999919</v>
      </c>
      <c r="R55" s="616"/>
      <c r="S55" s="32">
        <v>0.79513888888888895</v>
      </c>
      <c r="T55" s="32">
        <v>0.82152777777777786</v>
      </c>
      <c r="U55" s="322">
        <f t="shared" si="38"/>
        <v>5.9999999999999787</v>
      </c>
      <c r="V55" s="328">
        <f t="shared" si="37"/>
        <v>38.000000000000028</v>
      </c>
      <c r="W55" s="16"/>
      <c r="X55" s="16"/>
      <c r="Y55" s="19"/>
      <c r="Z55" s="19"/>
      <c r="AA55" s="607"/>
      <c r="AB55" s="608"/>
      <c r="AC55" s="136"/>
      <c r="AD55" s="18"/>
      <c r="AE55" s="14">
        <f t="shared" si="8"/>
        <v>-80.000000000001592</v>
      </c>
      <c r="AF55" s="323">
        <f t="shared" si="9"/>
        <v>0.95999999999999919</v>
      </c>
      <c r="AG55" s="616"/>
    </row>
    <row r="56" spans="1:33">
      <c r="A56" s="622" t="s">
        <v>1641</v>
      </c>
      <c r="B56" s="27" t="s">
        <v>1634</v>
      </c>
      <c r="C56" s="658"/>
      <c r="D56" s="658"/>
      <c r="E56" s="324"/>
      <c r="F56" s="28"/>
      <c r="G56" s="12"/>
      <c r="H56" s="329"/>
      <c r="I56" s="21">
        <v>17.5</v>
      </c>
      <c r="J56" s="29">
        <v>2000</v>
      </c>
      <c r="K56" s="12">
        <f t="shared" si="1"/>
        <v>114.28571428571429</v>
      </c>
      <c r="L56" s="21">
        <v>17.5</v>
      </c>
      <c r="M56" s="13">
        <f>AVERAGE(M48:M55)</f>
        <v>1919.9599224170402</v>
      </c>
      <c r="N56" s="12">
        <f t="shared" si="3"/>
        <v>109.711995566688</v>
      </c>
      <c r="O56" s="14">
        <f t="shared" si="4"/>
        <v>0</v>
      </c>
      <c r="P56" s="15">
        <f t="shared" si="5"/>
        <v>-4.5737187190262887</v>
      </c>
      <c r="Q56" s="323">
        <f t="shared" si="6"/>
        <v>0.95997996120852003</v>
      </c>
      <c r="R56" s="616"/>
      <c r="S56" s="32"/>
      <c r="T56" s="32"/>
      <c r="U56" s="322"/>
      <c r="V56" s="328"/>
      <c r="W56" s="12"/>
      <c r="X56" s="12"/>
      <c r="Y56" s="22">
        <f>SUM(Y48:Y55)</f>
        <v>0</v>
      </c>
      <c r="Z56" s="22">
        <f>SUM(Z48:Z55)</f>
        <v>0</v>
      </c>
      <c r="AA56" s="611"/>
      <c r="AB56" s="611"/>
      <c r="AC56" s="22">
        <v>8</v>
      </c>
      <c r="AD56" s="22">
        <f>SUM(AD48:AD55)</f>
        <v>0</v>
      </c>
      <c r="AE56" s="14">
        <f>M56-J56</f>
        <v>-80.040077582959839</v>
      </c>
      <c r="AF56" s="323">
        <f t="shared" si="9"/>
        <v>0.95997996120852003</v>
      </c>
      <c r="AG56" s="616"/>
    </row>
    <row r="57" spans="1:33" ht="15.75" customHeight="1">
      <c r="A57" s="617" t="s">
        <v>1642</v>
      </c>
      <c r="B57" s="329" t="s">
        <v>27</v>
      </c>
      <c r="C57" s="660" t="s">
        <v>28</v>
      </c>
      <c r="D57" s="660"/>
      <c r="E57" s="27">
        <v>35.119999999999997</v>
      </c>
      <c r="F57" s="30">
        <v>3625</v>
      </c>
      <c r="G57" s="322">
        <f t="shared" ref="G57:G60" si="40">E57*F57</f>
        <v>127309.99999999999</v>
      </c>
      <c r="H57" s="31" t="s">
        <v>40</v>
      </c>
      <c r="I57" s="327">
        <v>10</v>
      </c>
      <c r="J57" s="29">
        <v>3000</v>
      </c>
      <c r="K57" s="12">
        <f t="shared" si="1"/>
        <v>300</v>
      </c>
      <c r="L57" s="327">
        <v>10</v>
      </c>
      <c r="M57" s="13">
        <f t="shared" ref="M57:M60" si="41">F57/V57*60</f>
        <v>2861.8421052631575</v>
      </c>
      <c r="N57" s="12">
        <f t="shared" si="3"/>
        <v>286.18421052631572</v>
      </c>
      <c r="O57" s="14">
        <f t="shared" si="4"/>
        <v>0</v>
      </c>
      <c r="P57" s="15">
        <f t="shared" si="5"/>
        <v>-13.815789473684276</v>
      </c>
      <c r="Q57" s="323">
        <f t="shared" si="6"/>
        <v>0.95394736842105243</v>
      </c>
      <c r="R57" s="616">
        <f>Q61</f>
        <v>0.96049050510892575</v>
      </c>
      <c r="S57" s="32">
        <v>0.20833333333333334</v>
      </c>
      <c r="T57" s="32">
        <v>0.26111111111111113</v>
      </c>
      <c r="U57" s="322"/>
      <c r="V57" s="328">
        <f t="shared" ref="V57:V60" si="42">(T57-S57)*24*60</f>
        <v>76.000000000000014</v>
      </c>
      <c r="W57" s="16"/>
      <c r="X57" s="16"/>
      <c r="Y57" s="20"/>
      <c r="Z57" s="20"/>
      <c r="AA57" s="612"/>
      <c r="AB57" s="612"/>
      <c r="AC57" s="136">
        <v>4</v>
      </c>
      <c r="AD57" s="18"/>
      <c r="AE57" s="14">
        <f t="shared" ref="AE57:AE68" si="43">M57-J57</f>
        <v>-138.15789473684254</v>
      </c>
      <c r="AF57" s="323">
        <f t="shared" si="9"/>
        <v>0.95394736842105243</v>
      </c>
      <c r="AG57" s="616">
        <f>AF61</f>
        <v>0.96049050510892564</v>
      </c>
    </row>
    <row r="58" spans="1:33" ht="15.75" customHeight="1">
      <c r="A58" s="617" t="s">
        <v>1642</v>
      </c>
      <c r="B58" s="329" t="s">
        <v>27</v>
      </c>
      <c r="C58" s="660" t="s">
        <v>34</v>
      </c>
      <c r="D58" s="660"/>
      <c r="E58" s="27">
        <v>26.78</v>
      </c>
      <c r="F58" s="30">
        <v>1996</v>
      </c>
      <c r="G58" s="322">
        <f t="shared" si="40"/>
        <v>53452.880000000005</v>
      </c>
      <c r="H58" s="31" t="s">
        <v>40</v>
      </c>
      <c r="I58" s="327">
        <v>10</v>
      </c>
      <c r="J58" s="29">
        <v>3000</v>
      </c>
      <c r="K58" s="12">
        <f t="shared" si="1"/>
        <v>300</v>
      </c>
      <c r="L58" s="327">
        <v>10</v>
      </c>
      <c r="M58" s="13">
        <f t="shared" si="41"/>
        <v>2851.4285714285702</v>
      </c>
      <c r="N58" s="12">
        <f t="shared" si="3"/>
        <v>285.142857142857</v>
      </c>
      <c r="O58" s="14">
        <f t="shared" si="4"/>
        <v>0</v>
      </c>
      <c r="P58" s="15">
        <f t="shared" si="5"/>
        <v>-14.857142857143003</v>
      </c>
      <c r="Q58" s="323">
        <f t="shared" si="6"/>
        <v>0.95047619047619003</v>
      </c>
      <c r="R58" s="616"/>
      <c r="S58" s="32">
        <v>0.26597222222222222</v>
      </c>
      <c r="T58" s="32">
        <v>0.2951388888888889</v>
      </c>
      <c r="U58" s="322">
        <f t="shared" ref="U58:U60" si="44">(S58-T57)*24*60</f>
        <v>6.9999999999999751</v>
      </c>
      <c r="V58" s="328">
        <f t="shared" si="42"/>
        <v>42.000000000000014</v>
      </c>
      <c r="W58" s="322"/>
      <c r="X58" s="322"/>
      <c r="Y58" s="322"/>
      <c r="Z58" s="322"/>
      <c r="AA58" s="612"/>
      <c r="AB58" s="612"/>
      <c r="AC58" s="136"/>
      <c r="AD58" s="18"/>
      <c r="AE58" s="14">
        <f t="shared" si="43"/>
        <v>-148.57142857142981</v>
      </c>
      <c r="AF58" s="323">
        <f t="shared" si="9"/>
        <v>0.95047619047619003</v>
      </c>
      <c r="AG58" s="616"/>
    </row>
    <row r="59" spans="1:33" ht="15.75" customHeight="1">
      <c r="A59" s="617" t="s">
        <v>1642</v>
      </c>
      <c r="B59" s="329" t="s">
        <v>27</v>
      </c>
      <c r="C59" s="660" t="s">
        <v>36</v>
      </c>
      <c r="D59" s="660"/>
      <c r="E59" s="27">
        <v>34.35</v>
      </c>
      <c r="F59" s="30">
        <v>833</v>
      </c>
      <c r="G59" s="322">
        <f t="shared" si="40"/>
        <v>28613.550000000003</v>
      </c>
      <c r="H59" s="31" t="s">
        <v>40</v>
      </c>
      <c r="I59" s="327">
        <v>8</v>
      </c>
      <c r="J59" s="29">
        <v>3000</v>
      </c>
      <c r="K59" s="12">
        <f t="shared" si="1"/>
        <v>375</v>
      </c>
      <c r="L59" s="327">
        <v>8</v>
      </c>
      <c r="M59" s="13">
        <f t="shared" si="41"/>
        <v>2939.9999999999964</v>
      </c>
      <c r="N59" s="12">
        <f t="shared" si="3"/>
        <v>367.49999999999955</v>
      </c>
      <c r="O59" s="14">
        <f t="shared" si="4"/>
        <v>0</v>
      </c>
      <c r="P59" s="15">
        <f t="shared" si="5"/>
        <v>-7.5000000000004547</v>
      </c>
      <c r="Q59" s="323">
        <f t="shared" si="6"/>
        <v>0.97999999999999876</v>
      </c>
      <c r="R59" s="616"/>
      <c r="S59" s="32">
        <v>0.2986111111111111</v>
      </c>
      <c r="T59" s="32">
        <v>0.31041666666666667</v>
      </c>
      <c r="U59" s="322">
        <f t="shared" si="44"/>
        <v>4.9999999999999822</v>
      </c>
      <c r="V59" s="328">
        <f t="shared" si="42"/>
        <v>17.000000000000021</v>
      </c>
      <c r="W59" s="322"/>
      <c r="X59" s="322"/>
      <c r="Y59" s="322"/>
      <c r="Z59" s="322"/>
      <c r="AA59" s="612"/>
      <c r="AB59" s="612"/>
      <c r="AC59" s="136"/>
      <c r="AD59" s="18"/>
      <c r="AE59" s="14">
        <f t="shared" si="43"/>
        <v>-60.000000000003638</v>
      </c>
      <c r="AF59" s="323">
        <f t="shared" si="9"/>
        <v>0.97999999999999876</v>
      </c>
      <c r="AG59" s="616"/>
    </row>
    <row r="60" spans="1:33" ht="15.75" customHeight="1">
      <c r="A60" s="617" t="s">
        <v>1642</v>
      </c>
      <c r="B60" s="329" t="s">
        <v>27</v>
      </c>
      <c r="C60" s="660" t="s">
        <v>737</v>
      </c>
      <c r="D60" s="660"/>
      <c r="E60" s="27">
        <v>36.14</v>
      </c>
      <c r="F60" s="30">
        <v>3112</v>
      </c>
      <c r="G60" s="322">
        <f t="shared" si="40"/>
        <v>112467.68000000001</v>
      </c>
      <c r="H60" s="31" t="s">
        <v>40</v>
      </c>
      <c r="I60" s="327">
        <v>11</v>
      </c>
      <c r="J60" s="29">
        <v>3000</v>
      </c>
      <c r="K60" s="12">
        <f t="shared" si="1"/>
        <v>272.72727272727275</v>
      </c>
      <c r="L60" s="327">
        <v>11</v>
      </c>
      <c r="M60" s="13">
        <f t="shared" si="41"/>
        <v>2872.6153846153838</v>
      </c>
      <c r="N60" s="12">
        <f t="shared" si="3"/>
        <v>261.14685314685306</v>
      </c>
      <c r="O60" s="14">
        <f t="shared" si="4"/>
        <v>0</v>
      </c>
      <c r="P60" s="15">
        <f t="shared" si="5"/>
        <v>-11.580419580419687</v>
      </c>
      <c r="Q60" s="323">
        <f t="shared" si="6"/>
        <v>0.95753846153846112</v>
      </c>
      <c r="R60" s="616"/>
      <c r="S60" s="32">
        <v>0.31597222222222221</v>
      </c>
      <c r="T60" s="32">
        <v>0.3611111111111111</v>
      </c>
      <c r="U60" s="322">
        <f t="shared" si="44"/>
        <v>7.9999999999999716</v>
      </c>
      <c r="V60" s="328">
        <f t="shared" si="42"/>
        <v>65.000000000000014</v>
      </c>
      <c r="W60" s="322"/>
      <c r="X60" s="322"/>
      <c r="Y60" s="322"/>
      <c r="Z60" s="322"/>
      <c r="AA60" s="612"/>
      <c r="AB60" s="612"/>
      <c r="AC60" s="136"/>
      <c r="AD60" s="18"/>
      <c r="AE60" s="14">
        <f t="shared" si="43"/>
        <v>-127.38461538461615</v>
      </c>
      <c r="AF60" s="323">
        <f t="shared" si="9"/>
        <v>0.95753846153846123</v>
      </c>
      <c r="AG60" s="616"/>
    </row>
    <row r="61" spans="1:33">
      <c r="A61" s="618" t="s">
        <v>1642</v>
      </c>
      <c r="B61" s="27" t="s">
        <v>1634</v>
      </c>
      <c r="C61" s="658"/>
      <c r="D61" s="658"/>
      <c r="E61" s="324"/>
      <c r="F61" s="28"/>
      <c r="G61" s="12"/>
      <c r="H61" s="329"/>
      <c r="I61" s="21">
        <v>9.75</v>
      </c>
      <c r="J61" s="29">
        <v>3000</v>
      </c>
      <c r="K61" s="12">
        <f t="shared" si="1"/>
        <v>307.69230769230768</v>
      </c>
      <c r="L61" s="21">
        <v>9.75</v>
      </c>
      <c r="M61" s="13">
        <f>AVERAGE(M57:M60)</f>
        <v>2881.4715153267771</v>
      </c>
      <c r="N61" s="12">
        <f t="shared" si="3"/>
        <v>295.53554003351559</v>
      </c>
      <c r="O61" s="14">
        <f t="shared" si="4"/>
        <v>0</v>
      </c>
      <c r="P61" s="15">
        <f t="shared" si="5"/>
        <v>-12.156767658792091</v>
      </c>
      <c r="Q61" s="323">
        <f t="shared" si="6"/>
        <v>0.96049050510892575</v>
      </c>
      <c r="R61" s="616"/>
      <c r="S61" s="32"/>
      <c r="T61" s="32"/>
      <c r="U61" s="12"/>
      <c r="V61" s="328"/>
      <c r="W61" s="12"/>
      <c r="X61" s="12"/>
      <c r="Y61" s="22">
        <f>SUM(Y57:Y60)</f>
        <v>0</v>
      </c>
      <c r="Z61" s="22">
        <f>SUM(Z57:Z60)</f>
        <v>0</v>
      </c>
      <c r="AA61" s="611"/>
      <c r="AB61" s="611"/>
      <c r="AC61" s="22">
        <v>4</v>
      </c>
      <c r="AD61" s="22">
        <f>SUM(AD57:AD60)</f>
        <v>0</v>
      </c>
      <c r="AE61" s="14">
        <f t="shared" si="43"/>
        <v>-118.52848467322292</v>
      </c>
      <c r="AF61" s="323">
        <f t="shared" si="9"/>
        <v>0.96049050510892564</v>
      </c>
      <c r="AG61" s="616"/>
    </row>
    <row r="62" spans="1:33" ht="15.75" customHeight="1">
      <c r="A62" s="613" t="s">
        <v>1643</v>
      </c>
      <c r="B62" s="329" t="s">
        <v>20</v>
      </c>
      <c r="C62" s="660" t="s">
        <v>39</v>
      </c>
      <c r="D62" s="660"/>
      <c r="E62" s="27">
        <v>19.02</v>
      </c>
      <c r="F62" s="329">
        <v>4000</v>
      </c>
      <c r="G62" s="322">
        <f t="shared" ref="G62:G67" si="45">E62*F62</f>
        <v>76080</v>
      </c>
      <c r="H62" s="31">
        <v>2</v>
      </c>
      <c r="I62" s="327">
        <v>14</v>
      </c>
      <c r="J62" s="29">
        <v>2400</v>
      </c>
      <c r="K62" s="12">
        <f t="shared" si="1"/>
        <v>171.42857142857142</v>
      </c>
      <c r="L62" s="327">
        <v>14</v>
      </c>
      <c r="M62" s="13">
        <f t="shared" ref="M62:M67" si="46">F62/V62*60</f>
        <v>2285.7142857142858</v>
      </c>
      <c r="N62" s="12">
        <f t="shared" si="3"/>
        <v>163.26530612244898</v>
      </c>
      <c r="O62" s="14">
        <f t="shared" si="4"/>
        <v>0</v>
      </c>
      <c r="P62" s="15">
        <f t="shared" si="5"/>
        <v>-8.1632653061224403</v>
      </c>
      <c r="Q62" s="323">
        <f t="shared" si="6"/>
        <v>0.95238095238095244</v>
      </c>
      <c r="R62" s="616">
        <f>Q68</f>
        <v>0.95694254141726143</v>
      </c>
      <c r="S62" s="32">
        <v>8.3333333333333329E-2</v>
      </c>
      <c r="T62" s="32">
        <v>0.15625</v>
      </c>
      <c r="U62" s="20"/>
      <c r="V62" s="328">
        <f t="shared" ref="V62:V67" si="47">(T62-S62)*24*60</f>
        <v>105</v>
      </c>
      <c r="W62" s="16">
        <f>T62</f>
        <v>0.15625</v>
      </c>
      <c r="X62" s="16">
        <f>S63</f>
        <v>0.17430555555555555</v>
      </c>
      <c r="Y62" s="16"/>
      <c r="Z62" s="16"/>
      <c r="AA62" s="612"/>
      <c r="AB62" s="612"/>
      <c r="AC62" s="136">
        <v>6</v>
      </c>
      <c r="AD62" s="18"/>
      <c r="AE62" s="14">
        <f t="shared" si="43"/>
        <v>-114.28571428571422</v>
      </c>
      <c r="AF62" s="323">
        <f t="shared" si="9"/>
        <v>0.95238095238095244</v>
      </c>
      <c r="AG62" s="616">
        <f>AF68</f>
        <v>0.95694254141726143</v>
      </c>
    </row>
    <row r="63" spans="1:33" ht="15.75" customHeight="1">
      <c r="A63" s="614" t="s">
        <v>1643</v>
      </c>
      <c r="B63" s="329" t="s">
        <v>20</v>
      </c>
      <c r="C63" s="660" t="s">
        <v>24</v>
      </c>
      <c r="D63" s="660"/>
      <c r="E63" s="27">
        <v>20.36</v>
      </c>
      <c r="F63" s="329">
        <v>3229</v>
      </c>
      <c r="G63" s="322">
        <f t="shared" si="45"/>
        <v>65742.44</v>
      </c>
      <c r="H63" s="31" t="s">
        <v>40</v>
      </c>
      <c r="I63" s="327">
        <v>17</v>
      </c>
      <c r="J63" s="29">
        <v>2400</v>
      </c>
      <c r="K63" s="12">
        <f t="shared" si="1"/>
        <v>141.1764705882353</v>
      </c>
      <c r="L63" s="327">
        <v>17</v>
      </c>
      <c r="M63" s="13">
        <f t="shared" si="46"/>
        <v>2306.428571428572</v>
      </c>
      <c r="N63" s="12">
        <f t="shared" si="3"/>
        <v>135.67226890756305</v>
      </c>
      <c r="O63" s="14">
        <f t="shared" si="4"/>
        <v>0</v>
      </c>
      <c r="P63" s="15">
        <f t="shared" si="5"/>
        <v>-5.5042016806722529</v>
      </c>
      <c r="Q63" s="323">
        <f t="shared" si="6"/>
        <v>0.9610119047619049</v>
      </c>
      <c r="R63" s="616"/>
      <c r="S63" s="32">
        <v>0.17430555555555555</v>
      </c>
      <c r="T63" s="32">
        <v>0.23263888888888887</v>
      </c>
      <c r="U63" s="322">
        <f t="shared" ref="U63:U67" si="48">(S63-T62)*24*60</f>
        <v>25.999999999999986</v>
      </c>
      <c r="V63" s="328">
        <f t="shared" si="47"/>
        <v>83.999999999999986</v>
      </c>
      <c r="W63" s="16"/>
      <c r="X63" s="16"/>
      <c r="Y63" s="16"/>
      <c r="Z63" s="16"/>
      <c r="AA63" s="612"/>
      <c r="AB63" s="612"/>
      <c r="AC63" s="136"/>
      <c r="AD63" s="18"/>
      <c r="AE63" s="14">
        <f t="shared" si="43"/>
        <v>-93.571428571427987</v>
      </c>
      <c r="AF63" s="323">
        <f t="shared" si="9"/>
        <v>0.96101190476190501</v>
      </c>
      <c r="AG63" s="616"/>
    </row>
    <row r="64" spans="1:33" ht="15.75" customHeight="1">
      <c r="A64" s="614" t="s">
        <v>1643</v>
      </c>
      <c r="B64" s="329" t="s">
        <v>20</v>
      </c>
      <c r="C64" s="660" t="s">
        <v>80</v>
      </c>
      <c r="D64" s="660"/>
      <c r="E64" s="27">
        <v>25.98</v>
      </c>
      <c r="F64" s="329">
        <v>2908</v>
      </c>
      <c r="G64" s="322">
        <f t="shared" si="45"/>
        <v>75549.84</v>
      </c>
      <c r="H64" s="31" t="s">
        <v>40</v>
      </c>
      <c r="I64" s="327">
        <v>17</v>
      </c>
      <c r="J64" s="29">
        <v>2400</v>
      </c>
      <c r="K64" s="12">
        <f t="shared" si="1"/>
        <v>141.1764705882353</v>
      </c>
      <c r="L64" s="327">
        <v>17</v>
      </c>
      <c r="M64" s="13">
        <f t="shared" si="46"/>
        <v>2295.7894736842113</v>
      </c>
      <c r="N64" s="12">
        <f t="shared" si="3"/>
        <v>135.04643962848303</v>
      </c>
      <c r="O64" s="14">
        <f t="shared" si="4"/>
        <v>0</v>
      </c>
      <c r="P64" s="15">
        <f t="shared" si="5"/>
        <v>-6.1300309597522755</v>
      </c>
      <c r="Q64" s="323">
        <f t="shared" si="6"/>
        <v>0.95657894736842142</v>
      </c>
      <c r="R64" s="616"/>
      <c r="S64" s="32">
        <v>0.23819444444444443</v>
      </c>
      <c r="T64" s="32">
        <v>0.29097222222222219</v>
      </c>
      <c r="U64" s="322">
        <f t="shared" si="48"/>
        <v>8.0000000000000107</v>
      </c>
      <c r="V64" s="328">
        <f t="shared" si="47"/>
        <v>75.999999999999972</v>
      </c>
      <c r="W64" s="16"/>
      <c r="X64" s="16"/>
      <c r="Y64" s="16"/>
      <c r="Z64" s="16"/>
      <c r="AA64" s="612"/>
      <c r="AB64" s="612"/>
      <c r="AC64" s="136"/>
      <c r="AD64" s="18"/>
      <c r="AE64" s="14">
        <f t="shared" si="43"/>
        <v>-104.21052631578868</v>
      </c>
      <c r="AF64" s="323">
        <f t="shared" si="9"/>
        <v>0.95657894736842142</v>
      </c>
      <c r="AG64" s="616"/>
    </row>
    <row r="65" spans="1:33" ht="15.75" customHeight="1">
      <c r="A65" s="614" t="s">
        <v>1643</v>
      </c>
      <c r="B65" s="329" t="s">
        <v>20</v>
      </c>
      <c r="C65" s="660" t="s">
        <v>739</v>
      </c>
      <c r="D65" s="660"/>
      <c r="E65" s="27">
        <v>28.29</v>
      </c>
      <c r="F65" s="329">
        <v>5543</v>
      </c>
      <c r="G65" s="322">
        <f t="shared" si="45"/>
        <v>156811.47</v>
      </c>
      <c r="H65" s="31" t="s">
        <v>40</v>
      </c>
      <c r="I65" s="327">
        <v>21</v>
      </c>
      <c r="J65" s="29">
        <v>2400</v>
      </c>
      <c r="K65" s="12">
        <f t="shared" si="1"/>
        <v>114.28571428571429</v>
      </c>
      <c r="L65" s="327">
        <v>21</v>
      </c>
      <c r="M65" s="13">
        <f t="shared" si="46"/>
        <v>2293.6551724137935</v>
      </c>
      <c r="N65" s="12">
        <f t="shared" si="3"/>
        <v>109.2216748768473</v>
      </c>
      <c r="O65" s="14">
        <f t="shared" si="4"/>
        <v>0</v>
      </c>
      <c r="P65" s="15">
        <f t="shared" si="5"/>
        <v>-5.0640394088669893</v>
      </c>
      <c r="Q65" s="323">
        <f t="shared" si="6"/>
        <v>0.95568965517241389</v>
      </c>
      <c r="R65" s="616"/>
      <c r="S65" s="32">
        <v>0.29652777777777772</v>
      </c>
      <c r="T65" s="32">
        <v>0.39722222222222214</v>
      </c>
      <c r="U65" s="322">
        <f t="shared" si="48"/>
        <v>7.9999999999999716</v>
      </c>
      <c r="V65" s="328">
        <f t="shared" si="47"/>
        <v>144.99999999999997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-106.34482758620652</v>
      </c>
      <c r="AF65" s="323">
        <f t="shared" si="9"/>
        <v>0.955689655172414</v>
      </c>
      <c r="AG65" s="616"/>
    </row>
    <row r="66" spans="1:33" ht="15.75" customHeight="1">
      <c r="A66" s="614" t="s">
        <v>1643</v>
      </c>
      <c r="B66" s="329" t="s">
        <v>20</v>
      </c>
      <c r="C66" s="660" t="s">
        <v>1420</v>
      </c>
      <c r="D66" s="660"/>
      <c r="E66" s="27">
        <v>24.25</v>
      </c>
      <c r="F66" s="329">
        <v>6152</v>
      </c>
      <c r="G66" s="322">
        <f t="shared" si="45"/>
        <v>149186</v>
      </c>
      <c r="H66" s="31" t="s">
        <v>40</v>
      </c>
      <c r="I66" s="327">
        <v>17</v>
      </c>
      <c r="J66" s="29">
        <v>2400</v>
      </c>
      <c r="K66" s="12">
        <f t="shared" si="1"/>
        <v>141.1764705882353</v>
      </c>
      <c r="L66" s="327">
        <v>17</v>
      </c>
      <c r="M66" s="13">
        <f t="shared" si="46"/>
        <v>2292.6708074534176</v>
      </c>
      <c r="N66" s="12">
        <f t="shared" si="3"/>
        <v>134.86298867373046</v>
      </c>
      <c r="O66" s="14">
        <f t="shared" si="4"/>
        <v>0</v>
      </c>
      <c r="P66" s="15">
        <f t="shared" si="5"/>
        <v>-6.3134819145048482</v>
      </c>
      <c r="Q66" s="323">
        <f t="shared" si="6"/>
        <v>0.95527950310559062</v>
      </c>
      <c r="R66" s="616"/>
      <c r="S66" s="32">
        <v>0.4013888888888888</v>
      </c>
      <c r="T66" s="32">
        <v>0.51319444444444429</v>
      </c>
      <c r="U66" s="322">
        <f t="shared" si="48"/>
        <v>5.9999999999999787</v>
      </c>
      <c r="V66" s="328">
        <f t="shared" si="47"/>
        <v>160.99999999999991</v>
      </c>
      <c r="W66" s="16">
        <f>T66</f>
        <v>0.51319444444444429</v>
      </c>
      <c r="X66" s="16">
        <f>S67</f>
        <v>0.55416666666666647</v>
      </c>
      <c r="Y66" s="16"/>
      <c r="Z66" s="16"/>
      <c r="AA66" s="612"/>
      <c r="AB66" s="612"/>
      <c r="AC66" s="136"/>
      <c r="AD66" s="18"/>
      <c r="AE66" s="14">
        <f t="shared" si="43"/>
        <v>-107.32919254658236</v>
      </c>
      <c r="AF66" s="323">
        <f t="shared" si="9"/>
        <v>0.95527950310559073</v>
      </c>
      <c r="AG66" s="616"/>
    </row>
    <row r="67" spans="1:33" ht="15.75" customHeight="1">
      <c r="A67" s="614" t="s">
        <v>1643</v>
      </c>
      <c r="B67" s="329" t="s">
        <v>20</v>
      </c>
      <c r="C67" s="660" t="s">
        <v>39</v>
      </c>
      <c r="D67" s="660"/>
      <c r="E67" s="27">
        <v>19.02</v>
      </c>
      <c r="F67" s="329">
        <v>2959</v>
      </c>
      <c r="G67" s="322">
        <f t="shared" si="45"/>
        <v>56280.18</v>
      </c>
      <c r="H67" s="31" t="s">
        <v>40</v>
      </c>
      <c r="I67" s="327">
        <v>14</v>
      </c>
      <c r="J67" s="29">
        <v>2400</v>
      </c>
      <c r="K67" s="12">
        <f t="shared" si="1"/>
        <v>171.42857142857142</v>
      </c>
      <c r="L67" s="327">
        <v>14</v>
      </c>
      <c r="M67" s="13">
        <f t="shared" si="46"/>
        <v>2305.7142857142844</v>
      </c>
      <c r="N67" s="12">
        <f t="shared" si="3"/>
        <v>164.69387755102031</v>
      </c>
      <c r="O67" s="14">
        <f t="shared" si="4"/>
        <v>0</v>
      </c>
      <c r="P67" s="15">
        <f t="shared" si="5"/>
        <v>-6.7346938775511092</v>
      </c>
      <c r="Q67" s="323">
        <f t="shared" si="6"/>
        <v>0.96071428571428519</v>
      </c>
      <c r="R67" s="616"/>
      <c r="S67" s="32">
        <v>0.55416666666666647</v>
      </c>
      <c r="T67" s="32">
        <v>0.60763888888888873</v>
      </c>
      <c r="U67" s="322">
        <f t="shared" si="48"/>
        <v>58.99999999999995</v>
      </c>
      <c r="V67" s="328">
        <f t="shared" si="47"/>
        <v>77.000000000000043</v>
      </c>
      <c r="W67" s="16"/>
      <c r="X67" s="16"/>
      <c r="Y67" s="16"/>
      <c r="Z67" s="16"/>
      <c r="AA67" s="612"/>
      <c r="AB67" s="612"/>
      <c r="AC67" s="136"/>
      <c r="AD67" s="18"/>
      <c r="AE67" s="14">
        <f t="shared" si="43"/>
        <v>-94.285714285715585</v>
      </c>
      <c r="AF67" s="323">
        <f t="shared" si="9"/>
        <v>0.96071428571428519</v>
      </c>
      <c r="AG67" s="616"/>
    </row>
    <row r="68" spans="1:33" ht="16.5" customHeight="1">
      <c r="A68" s="615" t="s">
        <v>1643</v>
      </c>
      <c r="B68" s="27" t="s">
        <v>1634</v>
      </c>
      <c r="C68" s="609"/>
      <c r="D68" s="610"/>
      <c r="E68" s="324"/>
      <c r="F68" s="28"/>
      <c r="G68" s="12"/>
      <c r="H68" s="329"/>
      <c r="I68" s="21">
        <v>16.666666666666668</v>
      </c>
      <c r="J68" s="29">
        <v>2400</v>
      </c>
      <c r="K68" s="12">
        <f t="shared" si="1"/>
        <v>144</v>
      </c>
      <c r="L68" s="21">
        <v>16.666666666666668</v>
      </c>
      <c r="M68" s="13">
        <f>AVERAGE(M62:M67)</f>
        <v>2296.6620994014274</v>
      </c>
      <c r="N68" s="12">
        <f t="shared" si="3"/>
        <v>137.79972596408564</v>
      </c>
      <c r="O68" s="14">
        <f t="shared" si="4"/>
        <v>0</v>
      </c>
      <c r="P68" s="15">
        <f t="shared" si="5"/>
        <v>-6.2002740359143615</v>
      </c>
      <c r="Q68" s="323">
        <f t="shared" si="6"/>
        <v>0.95694254141726143</v>
      </c>
      <c r="R68" s="616"/>
      <c r="S68" s="32"/>
      <c r="T68" s="32"/>
      <c r="U68" s="12"/>
      <c r="V68" s="328"/>
      <c r="W68" s="12"/>
      <c r="X68" s="12"/>
      <c r="Y68" s="22">
        <f>SUM(Y62:Y67)</f>
        <v>0</v>
      </c>
      <c r="Z68" s="22">
        <f>SUM(Z62:Z67)</f>
        <v>0</v>
      </c>
      <c r="AA68" s="611"/>
      <c r="AB68" s="611"/>
      <c r="AC68" s="22">
        <v>6</v>
      </c>
      <c r="AD68" s="22">
        <f>SUM(AD62:AD67)</f>
        <v>0</v>
      </c>
      <c r="AE68" s="14">
        <f t="shared" si="43"/>
        <v>-103.33790059857256</v>
      </c>
      <c r="AF68" s="323">
        <f t="shared" si="9"/>
        <v>0.95694254141726143</v>
      </c>
      <c r="AG68" s="616"/>
    </row>
    <row r="69" spans="1:33">
      <c r="D69" s="23"/>
      <c r="E69" s="23"/>
    </row>
  </sheetData>
  <mergeCells count="185"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G14:AG21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1:D21"/>
    <mergeCell ref="AA21:AB21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A43:A47"/>
    <mergeCell ref="C43:D43"/>
    <mergeCell ref="R43:R47"/>
    <mergeCell ref="AA43:AB43"/>
    <mergeCell ref="C56:D56"/>
    <mergeCell ref="AA56:AB56"/>
    <mergeCell ref="AA54:AB54"/>
    <mergeCell ref="C55:D55"/>
    <mergeCell ref="AA55:AB55"/>
    <mergeCell ref="AG43:AG47"/>
    <mergeCell ref="C44:D44"/>
    <mergeCell ref="AA44:AB44"/>
    <mergeCell ref="C45:D45"/>
    <mergeCell ref="AA45:AB45"/>
    <mergeCell ref="C46:D46"/>
    <mergeCell ref="A57:A61"/>
    <mergeCell ref="C57:D57"/>
    <mergeCell ref="R57:R61"/>
    <mergeCell ref="AA57:AB57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48:A56"/>
    <mergeCell ref="C48:D48"/>
    <mergeCell ref="R48:R56"/>
    <mergeCell ref="AA48:AB48"/>
    <mergeCell ref="AG57:AG61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A62:A68"/>
    <mergeCell ref="C62:D62"/>
    <mergeCell ref="R62:R68"/>
    <mergeCell ref="AA62:AB62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68:AB68"/>
  </mergeCells>
  <phoneticPr fontId="3" type="noConversion"/>
  <conditionalFormatting sqref="O56:O57 O60:O68 O5:O8 O13:O15 O21:O53">
    <cfRule type="cellIs" dxfId="1135" priority="51" operator="greaterThan">
      <formula>0</formula>
    </cfRule>
  </conditionalFormatting>
  <conditionalFormatting sqref="P5:P6 P60 AE60 P62:P67 P29:P34 P57 P8 P13:P15 P22:P27 P48:P53 P36:P46 AE5:AE57 AE62:AE68">
    <cfRule type="cellIs" dxfId="1134" priority="55" operator="lessThan">
      <formula>0</formula>
    </cfRule>
  </conditionalFormatting>
  <conditionalFormatting sqref="AF60 Q56:Q57 Q60:Q68 Q5:Q8 Q13:Q15 Q21:Q53 AF5:AF57 AF62:AF68">
    <cfRule type="cellIs" dxfId="1133" priority="52" operator="greaterThan">
      <formula>1</formula>
    </cfRule>
    <cfRule type="cellIs" dxfId="1132" priority="53" operator="lessThan">
      <formula>0.8</formula>
    </cfRule>
  </conditionalFormatting>
  <conditionalFormatting sqref="AG14:AG15 R14:R15 AG60 AG56:AG57 R56:R57 R60:R68 AG5:AG8 R5:R8 AG21:AG53 R21:R53">
    <cfRule type="cellIs" dxfId="1131" priority="57" operator="lessThan">
      <formula>0.8</formula>
    </cfRule>
  </conditionalFormatting>
  <conditionalFormatting sqref="AG43">
    <cfRule type="cellIs" dxfId="1130" priority="59" operator="lessThan">
      <formula>0.8</formula>
    </cfRule>
  </conditionalFormatting>
  <conditionalFormatting sqref="AG22:AG27">
    <cfRule type="cellIs" dxfId="1129" priority="56" operator="lessThan">
      <formula>0.8</formula>
    </cfRule>
  </conditionalFormatting>
  <conditionalFormatting sqref="AG29">
    <cfRule type="cellIs" dxfId="1128" priority="58" operator="lessThan">
      <formula>0.8</formula>
    </cfRule>
  </conditionalFormatting>
  <conditionalFormatting sqref="AG36:AG41">
    <cfRule type="cellIs" dxfId="1127" priority="54" operator="lessThan">
      <formula>0.8</formula>
    </cfRule>
  </conditionalFormatting>
  <conditionalFormatting sqref="AE61">
    <cfRule type="cellIs" dxfId="1126" priority="50" operator="lessThan">
      <formula>0</formula>
    </cfRule>
  </conditionalFormatting>
  <conditionalFormatting sqref="AF61">
    <cfRule type="cellIs" dxfId="1125" priority="48" operator="greaterThan">
      <formula>1</formula>
    </cfRule>
    <cfRule type="cellIs" dxfId="1124" priority="49" operator="lessThan">
      <formula>0.8</formula>
    </cfRule>
  </conditionalFormatting>
  <conditionalFormatting sqref="O16:O17">
    <cfRule type="cellIs" dxfId="1123" priority="43" operator="greaterThan">
      <formula>0</formula>
    </cfRule>
  </conditionalFormatting>
  <conditionalFormatting sqref="P16:P17">
    <cfRule type="cellIs" dxfId="1122" priority="46" operator="lessThan">
      <formula>0</formula>
    </cfRule>
  </conditionalFormatting>
  <conditionalFormatting sqref="Q16:Q17">
    <cfRule type="cellIs" dxfId="1121" priority="44" operator="greaterThan">
      <formula>1</formula>
    </cfRule>
    <cfRule type="cellIs" dxfId="1120" priority="45" operator="lessThan">
      <formula>0.8</formula>
    </cfRule>
  </conditionalFormatting>
  <conditionalFormatting sqref="R16:R17 AG16:AG17">
    <cfRule type="cellIs" dxfId="1119" priority="47" operator="lessThan">
      <formula>0.8</formula>
    </cfRule>
  </conditionalFormatting>
  <conditionalFormatting sqref="O9:O12">
    <cfRule type="cellIs" dxfId="1118" priority="39" operator="greaterThan">
      <formula>0</formula>
    </cfRule>
  </conditionalFormatting>
  <conditionalFormatting sqref="P9:P12">
    <cfRule type="cellIs" dxfId="1117" priority="42" operator="lessThan">
      <formula>0</formula>
    </cfRule>
  </conditionalFormatting>
  <conditionalFormatting sqref="Q9:Q12">
    <cfRule type="cellIs" dxfId="1116" priority="40" operator="greaterThan">
      <formula>1</formula>
    </cfRule>
    <cfRule type="cellIs" dxfId="1115" priority="41" operator="lessThan">
      <formula>0.8</formula>
    </cfRule>
  </conditionalFormatting>
  <conditionalFormatting sqref="O54">
    <cfRule type="cellIs" dxfId="1114" priority="34" operator="greaterThan">
      <formula>0</formula>
    </cfRule>
  </conditionalFormatting>
  <conditionalFormatting sqref="P54">
    <cfRule type="cellIs" dxfId="1113" priority="37" operator="lessThan">
      <formula>0</formula>
    </cfRule>
  </conditionalFormatting>
  <conditionalFormatting sqref="Q54">
    <cfRule type="cellIs" dxfId="1112" priority="35" operator="greaterThan">
      <formula>1</formula>
    </cfRule>
    <cfRule type="cellIs" dxfId="1111" priority="36" operator="lessThan">
      <formula>0.8</formula>
    </cfRule>
  </conditionalFormatting>
  <conditionalFormatting sqref="R54 AG54">
    <cfRule type="cellIs" dxfId="1110" priority="38" operator="lessThan">
      <formula>0.8</formula>
    </cfRule>
  </conditionalFormatting>
  <conditionalFormatting sqref="O59">
    <cfRule type="cellIs" dxfId="1109" priority="29" operator="greaterThan">
      <formula>0</formula>
    </cfRule>
  </conditionalFormatting>
  <conditionalFormatting sqref="P59 AE59">
    <cfRule type="cellIs" dxfId="1108" priority="32" operator="lessThan">
      <formula>0</formula>
    </cfRule>
  </conditionalFormatting>
  <conditionalFormatting sqref="Q59 AF59">
    <cfRule type="cellIs" dxfId="1107" priority="30" operator="greaterThan">
      <formula>1</formula>
    </cfRule>
    <cfRule type="cellIs" dxfId="1106" priority="31" operator="lessThan">
      <formula>0.8</formula>
    </cfRule>
  </conditionalFormatting>
  <conditionalFormatting sqref="R59 AG59">
    <cfRule type="cellIs" dxfId="1105" priority="33" operator="lessThan">
      <formula>0.8</formula>
    </cfRule>
  </conditionalFormatting>
  <conditionalFormatting sqref="O18:O19">
    <cfRule type="cellIs" dxfId="1104" priority="24" operator="greaterThan">
      <formula>0</formula>
    </cfRule>
  </conditionalFormatting>
  <conditionalFormatting sqref="P18:P19">
    <cfRule type="cellIs" dxfId="1103" priority="27" operator="lessThan">
      <formula>0</formula>
    </cfRule>
  </conditionalFormatting>
  <conditionalFormatting sqref="Q18:Q19">
    <cfRule type="cellIs" dxfId="1102" priority="25" operator="greaterThan">
      <formula>1</formula>
    </cfRule>
    <cfRule type="cellIs" dxfId="1101" priority="26" operator="lessThan">
      <formula>0.8</formula>
    </cfRule>
  </conditionalFormatting>
  <conditionalFormatting sqref="R18:R19 AG18:AG19">
    <cfRule type="cellIs" dxfId="1100" priority="28" operator="lessThan">
      <formula>0.8</formula>
    </cfRule>
  </conditionalFormatting>
  <conditionalFormatting sqref="O55">
    <cfRule type="cellIs" dxfId="1099" priority="19" operator="greaterThan">
      <formula>0</formula>
    </cfRule>
  </conditionalFormatting>
  <conditionalFormatting sqref="P55">
    <cfRule type="cellIs" dxfId="1098" priority="22" operator="lessThan">
      <formula>0</formula>
    </cfRule>
  </conditionalFormatting>
  <conditionalFormatting sqref="Q55">
    <cfRule type="cellIs" dxfId="1097" priority="20" operator="greaterThan">
      <formula>1</formula>
    </cfRule>
    <cfRule type="cellIs" dxfId="1096" priority="21" operator="lessThan">
      <formula>0.8</formula>
    </cfRule>
  </conditionalFormatting>
  <conditionalFormatting sqref="AG55 R55">
    <cfRule type="cellIs" dxfId="1095" priority="23" operator="lessThan">
      <formula>0.8</formula>
    </cfRule>
  </conditionalFormatting>
  <conditionalFormatting sqref="O58">
    <cfRule type="cellIs" dxfId="1094" priority="14" operator="greaterThan">
      <formula>0</formula>
    </cfRule>
  </conditionalFormatting>
  <conditionalFormatting sqref="P58 AE58">
    <cfRule type="cellIs" dxfId="1093" priority="17" operator="lessThan">
      <formula>0</formula>
    </cfRule>
  </conditionalFormatting>
  <conditionalFormatting sqref="Q58 AF58">
    <cfRule type="cellIs" dxfId="1092" priority="15" operator="greaterThan">
      <formula>1</formula>
    </cfRule>
    <cfRule type="cellIs" dxfId="1091" priority="16" operator="lessThan">
      <formula>0.8</formula>
    </cfRule>
  </conditionalFormatting>
  <conditionalFormatting sqref="R58 AG58">
    <cfRule type="cellIs" dxfId="1090" priority="18" operator="lessThan">
      <formula>0.8</formula>
    </cfRule>
  </conditionalFormatting>
  <conditionalFormatting sqref="O20">
    <cfRule type="cellIs" dxfId="1089" priority="9" operator="greaterThan">
      <formula>0</formula>
    </cfRule>
  </conditionalFormatting>
  <conditionalFormatting sqref="P20">
    <cfRule type="cellIs" dxfId="1088" priority="12" operator="lessThan">
      <formula>0</formula>
    </cfRule>
  </conditionalFormatting>
  <conditionalFormatting sqref="Q20">
    <cfRule type="cellIs" dxfId="1087" priority="10" operator="greaterThan">
      <formula>1</formula>
    </cfRule>
    <cfRule type="cellIs" dxfId="1086" priority="11" operator="lessThan">
      <formula>0.8</formula>
    </cfRule>
  </conditionalFormatting>
  <conditionalFormatting sqref="AG20 R20">
    <cfRule type="cellIs" dxfId="1085" priority="13" operator="lessThan">
      <formula>0.8</formula>
    </cfRule>
  </conditionalFormatting>
  <conditionalFormatting sqref="P7">
    <cfRule type="cellIs" dxfId="1084" priority="8" operator="lessThan">
      <formula>0</formula>
    </cfRule>
  </conditionalFormatting>
  <conditionalFormatting sqref="P21">
    <cfRule type="cellIs" dxfId="1083" priority="7" operator="lessThan">
      <formula>0</formula>
    </cfRule>
  </conditionalFormatting>
  <conditionalFormatting sqref="P28">
    <cfRule type="cellIs" dxfId="1082" priority="6" operator="lessThan">
      <formula>0</formula>
    </cfRule>
  </conditionalFormatting>
  <conditionalFormatting sqref="P35">
    <cfRule type="cellIs" dxfId="1081" priority="5" operator="lessThan">
      <formula>0</formula>
    </cfRule>
  </conditionalFormatting>
  <conditionalFormatting sqref="P47">
    <cfRule type="cellIs" dxfId="1080" priority="4" operator="lessThan">
      <formula>0</formula>
    </cfRule>
  </conditionalFormatting>
  <conditionalFormatting sqref="P56">
    <cfRule type="cellIs" dxfId="1079" priority="3" operator="lessThan">
      <formula>0</formula>
    </cfRule>
  </conditionalFormatting>
  <conditionalFormatting sqref="P61">
    <cfRule type="cellIs" dxfId="1078" priority="2" operator="lessThan">
      <formula>0</formula>
    </cfRule>
  </conditionalFormatting>
  <conditionalFormatting sqref="P68">
    <cfRule type="cellIs" dxfId="1077" priority="1" operator="lessThan">
      <formula>0</formula>
    </cfRule>
  </conditionalFormatting>
  <dataValidations count="1">
    <dataValidation type="list" allowBlank="1" showInputMessage="1" showErrorMessage="1" sqref="AB7 AA5:AB6 AA7:AA60 AB9:AB57 AA61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2" sqref="O2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376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1478</v>
      </c>
      <c r="C3" s="594" t="str">
        <f>TEXT('0716 4度C'!A2,"yyyy.mm.ddaaaa")</f>
        <v>2026.07.16星期四</v>
      </c>
      <c r="D3" s="595"/>
      <c r="E3" s="36" t="s">
        <v>1479</v>
      </c>
      <c r="F3" s="596">
        <f>'0716 4度C'!D1</f>
        <v>168611</v>
      </c>
      <c r="G3" s="597"/>
      <c r="H3" s="36" t="s">
        <v>1480</v>
      </c>
      <c r="I3" s="598">
        <f>'0716 4度C'!F1</f>
        <v>5742639.5899999989</v>
      </c>
      <c r="J3" s="599"/>
      <c r="K3" s="37"/>
      <c r="L3" s="38"/>
      <c r="M3" s="39"/>
      <c r="N3" s="39"/>
    </row>
    <row r="4" spans="2:17" ht="28.5" customHeight="1">
      <c r="B4" s="600" t="s">
        <v>1481</v>
      </c>
      <c r="C4" s="586" t="s">
        <v>1482</v>
      </c>
      <c r="D4" s="587"/>
      <c r="E4" s="603" t="s">
        <v>293</v>
      </c>
      <c r="F4" s="604"/>
      <c r="G4" s="603" t="s">
        <v>197</v>
      </c>
      <c r="H4" s="604"/>
      <c r="I4" s="603" t="s">
        <v>1483</v>
      </c>
      <c r="J4" s="604"/>
      <c r="K4" s="584" t="s">
        <v>1484</v>
      </c>
      <c r="L4" s="585"/>
      <c r="M4" s="585" t="s">
        <v>1485</v>
      </c>
      <c r="N4" s="585"/>
    </row>
    <row r="5" spans="2:17" ht="28.5" customHeight="1">
      <c r="B5" s="601"/>
      <c r="C5" s="586" t="s">
        <v>1486</v>
      </c>
      <c r="D5" s="587"/>
      <c r="E5" s="586" t="s">
        <v>1487</v>
      </c>
      <c r="F5" s="587"/>
      <c r="G5" s="588" t="s">
        <v>1488</v>
      </c>
      <c r="H5" s="589"/>
      <c r="I5" s="590" t="s">
        <v>1489</v>
      </c>
      <c r="J5" s="591"/>
      <c r="K5" s="40" t="s">
        <v>302</v>
      </c>
      <c r="L5" s="41" t="s">
        <v>1490</v>
      </c>
      <c r="M5" s="40" t="s">
        <v>302</v>
      </c>
      <c r="N5" s="41" t="s">
        <v>1491</v>
      </c>
    </row>
    <row r="6" spans="2:17" ht="28.5" customHeight="1">
      <c r="B6" s="601"/>
      <c r="C6" s="586" t="s">
        <v>41</v>
      </c>
      <c r="D6" s="587"/>
      <c r="E6" s="578">
        <f>AVERAGE(D13:M13)</f>
        <v>157.56530706402833</v>
      </c>
      <c r="F6" s="579">
        <f>AVERAGE(D31:O31,D13:J13)</f>
        <v>166.81310605015514</v>
      </c>
      <c r="G6" s="580">
        <f>AVERAGE(D13:J13)</f>
        <v>166.81310605015514</v>
      </c>
      <c r="H6" s="581"/>
      <c r="I6" s="580">
        <f>AVERAGE(K13:M13)</f>
        <v>135.98710942973239</v>
      </c>
      <c r="J6" s="581"/>
      <c r="K6" s="582">
        <f>'0716 4度C'!Y2</f>
        <v>0</v>
      </c>
      <c r="L6" s="567">
        <f>'0716 4度C'!Z2</f>
        <v>0</v>
      </c>
      <c r="M6" s="583">
        <f>'0716 4度C'!AC2</f>
        <v>57</v>
      </c>
      <c r="N6" s="567">
        <f>'0716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151.00004020776538</v>
      </c>
      <c r="F7" s="571">
        <f>AVERAGE(D32:O32,D14:J14)</f>
        <v>160.01006233743095</v>
      </c>
      <c r="G7" s="572">
        <f>AVERAGE(D14:J14)</f>
        <v>160.01006233743095</v>
      </c>
      <c r="H7" s="573"/>
      <c r="I7" s="572">
        <f>AVERAGE(K14:M14)</f>
        <v>129.97665523854573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0.95765881337678493</v>
      </c>
      <c r="F8" s="575">
        <f>AVERAGE(D15:J15,D33:O33)</f>
        <v>0.95845639218791767</v>
      </c>
      <c r="G8" s="576">
        <f>AVERAGE(D15:J15)</f>
        <v>0.95845639218791767</v>
      </c>
      <c r="H8" s="577"/>
      <c r="I8" s="576">
        <f>AVERAGE(K15:M15)</f>
        <v>0.95579779615080873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1492</v>
      </c>
      <c r="N9" s="39"/>
      <c r="O9" s="39"/>
      <c r="P9" s="39"/>
      <c r="Q9" s="39"/>
    </row>
    <row r="10" spans="2:17" ht="30" customHeight="1">
      <c r="B10" s="550" t="s">
        <v>210</v>
      </c>
      <c r="C10" s="551"/>
      <c r="D10" s="552" t="s">
        <v>307</v>
      </c>
      <c r="E10" s="553"/>
      <c r="F10" s="553"/>
      <c r="G10" s="553"/>
      <c r="H10" s="553"/>
      <c r="I10" s="553"/>
      <c r="J10" s="554"/>
      <c r="K10" s="555" t="s">
        <v>1493</v>
      </c>
      <c r="L10" s="556"/>
      <c r="M10" s="557"/>
      <c r="P10" s="45"/>
      <c r="Q10" s="45"/>
    </row>
    <row r="11" spans="2:17" ht="17.25" customHeight="1">
      <c r="B11" s="558" t="s">
        <v>213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1494</v>
      </c>
      <c r="C13" s="52" t="s">
        <v>215</v>
      </c>
      <c r="D13" s="53">
        <f>SUMIFS('0716 4度C'!$K:$K,'0716 4度C'!$A:$A,"新豐6線",'0716 4度C'!$B:$B,"平均")</f>
        <v>129.03225806451613</v>
      </c>
      <c r="E13" s="54">
        <f>SUMIFS('0716 4度C'!$K:$K,'0716 4度C'!$A:$A,"新豐2線",'0716 4度C'!$B:$B,"平均")</f>
        <v>86.206896551724142</v>
      </c>
      <c r="F13" s="55">
        <f>SUMIFS('0716 4度C'!$K:$K,'0716 4度C'!$A:$A,"新豐5線",'0716 4度C'!$B:$B,"平均")</f>
        <v>93.75</v>
      </c>
      <c r="G13" s="55">
        <f>SUMIFS('0716 4度C'!$K:$K,'0716 4度C'!$A:$A,"新豐7線",'0716 4度C'!$B:$B,"平均")</f>
        <v>129.03225806451613</v>
      </c>
      <c r="H13" s="55">
        <f>SUMIFS('0716 4度C'!$K:$K,'0716 4度C'!$A:$A,"新豐3線",'0716 4度C'!$B:$B,"平均")</f>
        <v>307.69230769230768</v>
      </c>
      <c r="I13" s="55">
        <f>SUMIFS('0716 4度C'!$K:$K,'0716 4度C'!$A:$A,"新豐1線",'0716 4度C'!$B:$B,"平均")</f>
        <v>114.28571428571429</v>
      </c>
      <c r="J13" s="56">
        <f>SUMIFS('0716 4度C'!$K:$K,'0716 4度C'!$A:$A,"新豐10線",'0716 4度C'!$B:$B,"平均")</f>
        <v>307.69230769230768</v>
      </c>
      <c r="K13" s="57">
        <f>SUMIFS('0716 4度C'!$K:$K,'0716 4度C'!$A:$A,"新豐8線",'0716 4度C'!$B:$B,"平均")</f>
        <v>137.70491803278691</v>
      </c>
      <c r="L13" s="58">
        <f>SUMIFS('0716 4度C'!$K:$K,'0716 4度C'!$A:$A,"新豐9線",'0716 4度C'!$B:$B,"平均")</f>
        <v>126.66666666666667</v>
      </c>
      <c r="M13" s="56">
        <f>SUMIFS('0716 4度C'!$K:$K,'0716 4度C'!$A:$A,"新豐4線",'0716 4度C'!$B:$B,"平均")</f>
        <v>143.58974358974359</v>
      </c>
    </row>
    <row r="14" spans="2:17" ht="39.6" customHeight="1">
      <c r="B14" s="563"/>
      <c r="C14" s="59" t="s">
        <v>1495</v>
      </c>
      <c r="D14" s="60">
        <f>SUMIFS('0716 4度C'!$N:$N,'0716 4度C'!$A:$A,"新豐6線",'0716 4度C'!$B:$B,"平均")</f>
        <v>123.69205746814869</v>
      </c>
      <c r="E14" s="61">
        <f>SUMIFS('0716 4度C'!$N:$N,'0716 4度C'!$A:$A,"新豐2線",'0716 4度C'!$B:$B,"平均")</f>
        <v>82.440616803457758</v>
      </c>
      <c r="F14" s="61">
        <f>SUMIFS('0716 4度C'!$N:$N,'0716 4度C'!$A:$A,"新豐5線",'0716 4度C'!$B:$B,"平均")</f>
        <v>89.671881640172231</v>
      </c>
      <c r="G14" s="61">
        <f>SUMIFS('0716 4度C'!$N:$N,'0716 4度C'!$A:$A,"新豐7線",'0716 4度C'!$B:$B,"平均")</f>
        <v>123.55608579008926</v>
      </c>
      <c r="H14" s="61">
        <f>SUMIFS('0716 4度C'!$N:$N,'0716 4度C'!$A:$A,"新豐3線",'0716 4度C'!$B:$B,"平均")</f>
        <v>295.16509803598103</v>
      </c>
      <c r="I14" s="61">
        <f>SUMIFS('0716 4度C'!$N:$N,'0716 4度C'!$A:$A,"新豐1線",'0716 4度C'!$B:$B,"平均")</f>
        <v>109.61883212181503</v>
      </c>
      <c r="J14" s="62">
        <f>SUMIFS('0716 4度C'!$N:$N,'0716 4度C'!$A:$A,"新豐10線",'0716 4度C'!$B:$B,"平均")</f>
        <v>295.92586450235274</v>
      </c>
      <c r="K14" s="63">
        <f>SUMIFS('0716 4度C'!$N:$N,'0716 4度C'!$A:$A,"新豐8線",'0716 4度C'!$B:$B,"平均")</f>
        <v>131.55049051884771</v>
      </c>
      <c r="L14" s="64">
        <f>SUMIFS('0716 4度C'!$N:$N,'0716 4度C'!$A:$A,"新豐9線",'0716 4度C'!$B:$B,"平均")</f>
        <v>121.0786505348903</v>
      </c>
      <c r="M14" s="62">
        <f>SUMIFS('0716 4度C'!$N:$N,'0716 4度C'!$A:$A,"新豐4線",'0716 4度C'!$B:$B,"平均")</f>
        <v>137.30082466189921</v>
      </c>
    </row>
    <row r="15" spans="2:17" ht="40.15" customHeight="1">
      <c r="B15" s="564"/>
      <c r="C15" s="65" t="s">
        <v>217</v>
      </c>
      <c r="D15" s="66">
        <f t="shared" ref="D15:M15" si="0">D14/D13</f>
        <v>0.95861344537815241</v>
      </c>
      <c r="E15" s="67">
        <f t="shared" si="0"/>
        <v>0.95631115492010998</v>
      </c>
      <c r="F15" s="67">
        <f t="shared" si="0"/>
        <v>0.95650007082850375</v>
      </c>
      <c r="G15" s="67">
        <f t="shared" si="0"/>
        <v>0.95755966487319177</v>
      </c>
      <c r="H15" s="67">
        <f t="shared" si="0"/>
        <v>0.9592865686169384</v>
      </c>
      <c r="I15" s="67">
        <f t="shared" si="0"/>
        <v>0.95916478106588143</v>
      </c>
      <c r="J15" s="68">
        <f t="shared" si="0"/>
        <v>0.96175905963264641</v>
      </c>
      <c r="K15" s="66">
        <f t="shared" si="0"/>
        <v>0.95530713352972729</v>
      </c>
      <c r="L15" s="67">
        <f t="shared" si="0"/>
        <v>0.95588408317018658</v>
      </c>
      <c r="M15" s="68">
        <f t="shared" si="0"/>
        <v>0.95620217175251232</v>
      </c>
    </row>
    <row r="16" spans="2:17" ht="17.25" customHeight="1">
      <c r="B16" s="565" t="s">
        <v>1496</v>
      </c>
      <c r="C16" s="69" t="s">
        <v>1497</v>
      </c>
      <c r="D16" s="70">
        <f>VLOOKUP("新豐6線",'0716 4度C'!$A:$T,19,0)</f>
        <v>0.70833333333333337</v>
      </c>
      <c r="E16" s="71">
        <f>VLOOKUP("新豐2線",'0716 4度C'!$A:$T,19,0)</f>
        <v>8.3333333333333329E-2</v>
      </c>
      <c r="F16" s="71">
        <f>VLOOKUP("新豐5線",'0716 4度C'!$A:$T,19,0)</f>
        <v>8.3333333333333329E-2</v>
      </c>
      <c r="G16" s="71">
        <f>VLOOKUP("新豐7線",'0716 4度C'!$A:$T,19,0)</f>
        <v>0.20833333333333334</v>
      </c>
      <c r="H16" s="71">
        <f>VLOOKUP("新豐3線",'0716 4度C'!$A:$T,19,0)</f>
        <v>0.20833333333333334</v>
      </c>
      <c r="I16" s="71">
        <f>VLOOKUP("新豐1線",'0716 4度C'!$A:$T,19,0)</f>
        <v>0.20833333333333334</v>
      </c>
      <c r="J16" s="72">
        <f>VLOOKUP("新豐10線",'0716 4度C'!$A:$T,19,0)</f>
        <v>0.20833333333333334</v>
      </c>
      <c r="K16" s="73">
        <f>VLOOKUP("新豐8線",'0716 4度C'!$A:$T,19,0)</f>
        <v>8.3333333333333329E-2</v>
      </c>
      <c r="L16" s="74">
        <f>VLOOKUP("新豐9線",'0716 4度C'!$A:$T,19,0)</f>
        <v>8.3333333333333329E-2</v>
      </c>
      <c r="M16" s="75">
        <f>VLOOKUP("新豐4線",'0716 4度C'!$A:$T,19,0)</f>
        <v>8.3333333333333329E-2</v>
      </c>
    </row>
    <row r="17" spans="2:13" ht="17.25" customHeight="1">
      <c r="B17" s="566"/>
      <c r="C17" s="69" t="s">
        <v>1498</v>
      </c>
      <c r="D17" s="73">
        <f>LOOKUP(2,1/(('0716 4度C'!$A:$A="新豐6線")*('0716 4度C'!$T:$T&lt;&gt;"")),'0716 4度C'!$T:$T)</f>
        <v>0.80486111111111103</v>
      </c>
      <c r="E17" s="71">
        <f>LOOKUP(2,1/(('0716 4度C'!$A:$A="新豐2線")*('0716 4度C'!$T:$T&lt;&gt;"")),'0716 4度C'!$T:$T)</f>
        <v>0.64097222222222228</v>
      </c>
      <c r="F17" s="71">
        <f>LOOKUP(2,1/(('0716 4度C'!$A:$A="新豐5線")*('0716 4度C'!$T:$T&lt;&gt;"")),'0716 4度C'!$T:$T)</f>
        <v>0.81319444444444444</v>
      </c>
      <c r="G17" s="71">
        <f>LOOKUP(2,1/(('0716 4度C'!$A:$A="新豐7線")*('0716 4度C'!$T:$T&lt;&gt;"")),'0716 4度C'!$T:$T)</f>
        <v>0.84027777777777779</v>
      </c>
      <c r="H17" s="71">
        <f>LOOKUP(2,1/(('0716 4度C'!$A:$A="新豐3線")*('0716 4度C'!$T:$T&lt;&gt;"")),'0716 4度C'!$T:$T)</f>
        <v>0.43402777777777768</v>
      </c>
      <c r="I17" s="71">
        <f>LOOKUP(2,1/(('0716 4度C'!$A:$A="新豐1線")*('0716 4度C'!$T:$T&lt;&gt;"")),'0716 4度C'!$T:$T)</f>
        <v>0.82361111111111118</v>
      </c>
      <c r="J17" s="72">
        <f>LOOKUP(2,1/(('0716 4度C'!$A:$A="新豐10線")*('0716 4度C'!$T:$T&lt;&gt;"")),'0716 4度C'!$T:$T)</f>
        <v>0.3659722222222222</v>
      </c>
      <c r="K17" s="70">
        <f>LOOKUP(2,1/(('0716 4度C'!$A:$A="新豐8線")*('0716 4度C'!$T:$T&lt;&gt;"")),'0716 4度C'!$T:$T)</f>
        <v>0.64791666666666659</v>
      </c>
      <c r="L17" s="71">
        <f>LOOKUP(2,1/(('0716 4度C'!$A:$A="新豐9線")*('0716 4度C'!$T:$T&lt;&gt;"")),'0716 4度C'!$T:$T)</f>
        <v>0.66527777777777775</v>
      </c>
      <c r="M17" s="72">
        <f>LOOKUP(2,1/(('0716 4度C'!$A:$A="新豐4線")*('0716 4度C'!$T:$T&lt;&gt;"")),'0716 4度C'!$T:$T)</f>
        <v>0.67361111111111116</v>
      </c>
    </row>
    <row r="18" spans="2:13" ht="17.25" customHeight="1">
      <c r="B18" s="544" t="s">
        <v>585</v>
      </c>
      <c r="C18" s="76" t="s">
        <v>1499</v>
      </c>
      <c r="D18" s="77">
        <f>SUMIFS('0716 4度C'!$Y:$Y,'0716 4度C'!$A:$A,"新豐6線",'0716 4度C'!$B:$B,"平均")</f>
        <v>0</v>
      </c>
      <c r="E18" s="78">
        <f>SUMIFS('0716 4度C'!$Y:$Y,'0716 4度C'!$A:$A,"新豐2線",'0716 4度C'!$B:$B,"平均")</f>
        <v>0</v>
      </c>
      <c r="F18" s="78">
        <f>SUMIFS('0716 4度C'!$Y:$Y,'0716 4度C'!$A:$A,"新豐5線",'0716 4度C'!$B:$B,"平均")</f>
        <v>0</v>
      </c>
      <c r="G18" s="78">
        <f>SUMIFS('0716 4度C'!$Y:$Y,'0716 4度C'!$A:$A,"新豐7線",'0716 4度C'!$B:$B,"平均")</f>
        <v>0</v>
      </c>
      <c r="H18" s="78">
        <f>SUMIFS('0716 4度C'!$Y:$Y,'0716 4度C'!$A:$A,"新豐3線",'0716 4度C'!$B:$B,"平均")</f>
        <v>0</v>
      </c>
      <c r="I18" s="78">
        <f>SUMIFS('0716 4度C'!$Y:$Y,'0716 4度C'!$A:$A,"新豐1線",'0716 4度C'!$B:$B,"平均")</f>
        <v>0</v>
      </c>
      <c r="J18" s="79">
        <f>SUMIFS('0716 4度C'!$Y:$Y,'0716 4度C'!$A:$A,"新豐10線",'0716 4度C'!$B:$B,"平均")</f>
        <v>0</v>
      </c>
      <c r="K18" s="80">
        <f>SUMIFS('0716 4度C'!$Y:$Y,'0716 4度C'!$A:$A,"新豐8線",'0716 4度C'!$B:$B,"平均")</f>
        <v>0</v>
      </c>
      <c r="L18" s="78">
        <f>SUMIFS('0716 4度C'!$Y:$Y,'0716 4度C'!$A:$A,"新豐9線",'0716 4度C'!$B:$B,"平均")</f>
        <v>0</v>
      </c>
      <c r="M18" s="79">
        <f>SUMIFS('0716 4度C'!$Y:$Y,'0716 4度C'!$A:$A,"新豐4線",'0716 4度C'!$B:$B,"平均")</f>
        <v>0</v>
      </c>
    </row>
    <row r="19" spans="2:13" ht="17.25" customHeight="1">
      <c r="B19" s="545"/>
      <c r="C19" s="76" t="s">
        <v>1500</v>
      </c>
      <c r="D19" s="77">
        <f>SUMIFS('0716 4度C'!$Z:$Z,'0716 4度C'!$A:$A,"新豐6線",'0716 4度C'!$B:$B,"平均")</f>
        <v>0</v>
      </c>
      <c r="E19" s="78">
        <f>SUMIFS('0716 4度C'!$Z:$Z,'0716 4度C'!$A:$A,"新豐2線",'0716 4度C'!$B:$B,"平均")</f>
        <v>0</v>
      </c>
      <c r="F19" s="78">
        <f>SUMIFS('0716 4度C'!$Z:$Z,'0716 4度C'!$A:$A,"新豐5線",'0716 4度C'!$B:$B,"平均")</f>
        <v>0</v>
      </c>
      <c r="G19" s="78">
        <f>SUMIFS('0716 4度C'!$Z:$Z,'0716 4度C'!$A:$A,"新豐7線",'0716 4度C'!$B:$B,"平均")</f>
        <v>0</v>
      </c>
      <c r="H19" s="78">
        <f>SUMIFS('0716 4度C'!$Z:$Z,'0716 4度C'!$A:$A,"新豐3線",'0716 4度C'!$B:$B,"平均")</f>
        <v>0</v>
      </c>
      <c r="I19" s="78">
        <f>SUMIFS('0716 4度C'!$Z:$Z,'0716 4度C'!$A:$A,"新豐1線",'0716 4度C'!$B:$B,"平均")</f>
        <v>0</v>
      </c>
      <c r="J19" s="79">
        <f>SUMIFS('0716 4度C'!$Z:$Z,'0716 4度C'!$A:$A,"新豐10線",'0716 4度C'!$B:$B,"平均")</f>
        <v>0</v>
      </c>
      <c r="K19" s="80">
        <f>SUMIFS('0716 4度C'!$Z:$Z,'0716 4度C'!$A:$A,"新豐8線",'0716 4度C'!$B:$B,"平均")</f>
        <v>0</v>
      </c>
      <c r="L19" s="78">
        <f>SUMIFS('0716 4度C'!$Z:$Z,'0716 4度C'!$A:$A,"新豐9線",'0716 4度C'!$B:$B,"平均")</f>
        <v>0</v>
      </c>
      <c r="M19" s="79">
        <f>SUMIFS('0716 4度C'!$Z:$Z,'0716 4度C'!$A:$A,"新豐4線",'0716 4度C'!$B:$B,"平均")</f>
        <v>0</v>
      </c>
    </row>
    <row r="20" spans="2:13" ht="17.25" customHeight="1">
      <c r="B20" s="544" t="s">
        <v>1501</v>
      </c>
      <c r="C20" s="76" t="s">
        <v>1499</v>
      </c>
      <c r="D20" s="77">
        <f>SUMIFS('0716 4度C'!$AC:$AC,'0716 4度C'!$A:$A,"新豐6線",'0716 4度C'!$B:$B,"平均")</f>
        <v>2</v>
      </c>
      <c r="E20" s="78">
        <f>SUMIFS('0716 4度C'!$AC:$AC,'0716 4度C'!$A:$A,"新豐2線",'0716 4度C'!$B:$B,"平均")</f>
        <v>5</v>
      </c>
      <c r="F20" s="78">
        <f>SUMIFS('0716 4度C'!$AC:$AC,'0716 4度C'!$A:$A,"新豐5線",'0716 4度C'!$B:$B,"平均")</f>
        <v>7</v>
      </c>
      <c r="G20" s="78">
        <f>SUMIFS('0716 4度C'!$AC:$AC,'0716 4度C'!$A:$A,"新豐7線",'0716 4度C'!$B:$B,"平均")</f>
        <v>6</v>
      </c>
      <c r="H20" s="78">
        <f>SUMIFS('0716 4度C'!$AC:$AC,'0716 4度C'!$A:$A,"新豐3線",'0716 4度C'!$B:$B,"平均")</f>
        <v>4</v>
      </c>
      <c r="I20" s="78">
        <f>SUMIFS('0716 4度C'!$AC:$AC,'0716 4度C'!$A:$A,"新豐1線",'0716 4度C'!$B:$B,"平均")</f>
        <v>8</v>
      </c>
      <c r="J20" s="79">
        <f>SUMIFS('0716 4度C'!$AC:$AC,'0716 4度C'!$A:$A,"新豐10線",'0716 4度C'!$B:$B,"平均")</f>
        <v>4</v>
      </c>
      <c r="K20" s="80">
        <f>SUMIFS('0716 4度C'!$AC:$AC,'0716 4度C'!$A:$A,"新豐8線",'0716 4度C'!$B:$B,"平均")</f>
        <v>7</v>
      </c>
      <c r="L20" s="78">
        <f>SUMIFS('0716 4度C'!$AC:$AC,'0716 4度C'!$A:$A,"新豐9線",'0716 4度C'!$B:$B,"平均")</f>
        <v>7</v>
      </c>
      <c r="M20" s="79">
        <f>SUMIFS('0716 4度C'!$AC:$AC,'0716 4度C'!$A:$A,"新豐4線",'0716 4度C'!$B:$B,"平均")</f>
        <v>7</v>
      </c>
    </row>
    <row r="21" spans="2:13" ht="17.25" customHeight="1">
      <c r="B21" s="545"/>
      <c r="C21" s="76" t="s">
        <v>1502</v>
      </c>
      <c r="D21" s="77">
        <f>SUMIFS('0716 4度C'!$AD:$AD,'0716 4度C'!$A:$A,"新豐6線",'0716 4度C'!$B:$B,"平均")</f>
        <v>0</v>
      </c>
      <c r="E21" s="78">
        <f>SUMIFS('0716 4度C'!$AD:$AD,'0716 4度C'!$A:$A,"新豐2線",'0716 4度C'!$B:$B,"平均")</f>
        <v>0</v>
      </c>
      <c r="F21" s="78">
        <f>SUMIFS('0716 4度C'!$AD:$AD,'0716 4度C'!$A:$A,"新豐5線",'0716 4度C'!$B:$B,"平均")</f>
        <v>0</v>
      </c>
      <c r="G21" s="78">
        <f>SUMIFS('0716 4度C'!$AD:$AD,'0716 4度C'!$A:$A,"新豐7線",'0716 4度C'!$B:$B,"平均")</f>
        <v>0</v>
      </c>
      <c r="H21" s="78">
        <f>SUMIFS('0716 4度C'!$AD:$AD,'0716 4度C'!$A:$A,"新豐3線",'0716 4度C'!$B:$B,"平均")</f>
        <v>0</v>
      </c>
      <c r="I21" s="78">
        <f>SUMIFS('0716 4度C'!$AD:$AD,'0716 4度C'!$A:$A,"新豐1線",'0716 4度C'!$B:$B,"平均")</f>
        <v>0</v>
      </c>
      <c r="J21" s="79">
        <f>SUMIFS('0716 4度C'!$AD:$AD,'0716 4度C'!$A:$A,"新豐10線",'0716 4度C'!$B:$B,"平均")</f>
        <v>0</v>
      </c>
      <c r="K21" s="80">
        <f>SUMIFS('0716 4度C'!$AD:$AD,'0716 4度C'!$A:$A,"新豐8線",'0716 4度C'!$B:$B,"平均")</f>
        <v>0</v>
      </c>
      <c r="L21" s="78">
        <f>SUMIFS('0716 4度C'!$AD:$AD,'0716 4度C'!$A:$A,"新豐9線",'0716 4度C'!$B:$B,"平均")</f>
        <v>0</v>
      </c>
      <c r="M21" s="79">
        <f>SUMIFS('0716 4度C'!$AD:$AD,'0716 4度C'!$A:$A,"新豐4線",'0716 4度C'!$B:$B,"平均")</f>
        <v>0</v>
      </c>
    </row>
    <row r="22" spans="2:13" ht="17.25" customHeight="1">
      <c r="B22" s="546" t="s">
        <v>1503</v>
      </c>
      <c r="C22" s="547"/>
      <c r="D22" s="81">
        <f>SUMIFS('0716 4度C'!$I:$I,'0716 4度C'!$A:$A,"新豐6線",'0716 4度C'!$B:$B,"平均")</f>
        <v>15.5</v>
      </c>
      <c r="E22" s="82">
        <f>SUMIFS('0716 4度C'!$I:$I,'0716 4度C'!$A:$A,"新豐2線",'0716 4度C'!$B:$B,"平均")</f>
        <v>17.399999999999999</v>
      </c>
      <c r="F22" s="82">
        <f>SUMIFS('0716 4度C'!$I:$I,'0716 4度C'!$A:$A,"新豐5線",'0716 4度C'!$B:$B,"平均")</f>
        <v>18.285714285714285</v>
      </c>
      <c r="G22" s="82">
        <f>SUMIFS('0716 4度C'!$I:$I,'0716 4度C'!$A:$A,"新豐7線",'0716 4度C'!$B:$B,"平均")</f>
        <v>15.5</v>
      </c>
      <c r="H22" s="82">
        <f>SUMIFS('0716 4度C'!$I:$I,'0716 4度C'!$A:$A,"新豐3線",'0716 4度C'!$B:$B,"平均")</f>
        <v>9.75</v>
      </c>
      <c r="I22" s="82">
        <f>SUMIFS('0716 4度C'!$I:$I,'0716 4度C'!$A:$A,"新豐1線",'0716 4度C'!$B:$B,"平均")</f>
        <v>17.5</v>
      </c>
      <c r="J22" s="83">
        <f>SUMIFS('0716 4度C'!$I:$I,'0716 4度C'!$A:$A,"新豐10線",'0716 4度C'!$B:$B,"平均")</f>
        <v>9.75</v>
      </c>
      <c r="K22" s="81">
        <f>SUMIFS('0716 4度C'!$I:$I,'0716 4度C'!$A:$A,"新豐8線",'0716 4度C'!$B:$B,"平均")</f>
        <v>17.428571428571427</v>
      </c>
      <c r="L22" s="82">
        <f>SUMIFS('0716 4度C'!$I:$I,'0716 4度C'!$A:$A,"新豐9線",'0716 4度C'!$B:$B,"平均")</f>
        <v>17.142857142857142</v>
      </c>
      <c r="M22" s="83">
        <f>SUMIFS('0716 4度C'!$I:$I,'0716 4度C'!$A:$A,"新豐4線",'0716 4度C'!$B:$B,"平均")</f>
        <v>16.714285714285715</v>
      </c>
    </row>
    <row r="23" spans="2:13" ht="17.25" customHeight="1">
      <c r="B23" s="546" t="s">
        <v>1504</v>
      </c>
      <c r="C23" s="547"/>
      <c r="D23" s="84" t="s">
        <v>54</v>
      </c>
      <c r="E23" s="85" t="s">
        <v>55</v>
      </c>
      <c r="F23" s="85" t="s">
        <v>1505</v>
      </c>
      <c r="G23" s="85" t="s">
        <v>506</v>
      </c>
      <c r="H23" s="85" t="s">
        <v>56</v>
      </c>
      <c r="I23" s="85" t="s">
        <v>54</v>
      </c>
      <c r="J23" s="86" t="s">
        <v>56</v>
      </c>
      <c r="K23" s="84" t="s">
        <v>1506</v>
      </c>
      <c r="L23" s="85" t="s">
        <v>1506</v>
      </c>
      <c r="M23" s="86" t="s">
        <v>1506</v>
      </c>
    </row>
    <row r="24" spans="2:13" ht="17.25" customHeight="1">
      <c r="B24" s="546" t="s">
        <v>1507</v>
      </c>
      <c r="C24" s="547"/>
      <c r="D24" s="84"/>
      <c r="E24" s="85"/>
      <c r="F24" s="85" t="s">
        <v>1508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1509</v>
      </c>
      <c r="C25" s="549"/>
      <c r="D25" s="87"/>
      <c r="E25" s="88" t="s">
        <v>1510</v>
      </c>
      <c r="F25" s="542" t="s">
        <v>1511</v>
      </c>
      <c r="G25" s="543"/>
      <c r="H25" s="88" t="s">
        <v>1512</v>
      </c>
      <c r="I25" s="88" t="s">
        <v>128</v>
      </c>
      <c r="J25" s="89" t="s">
        <v>239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62" activePane="bottomLeft" state="frozen"/>
      <selection activeCell="A15" sqref="A15"/>
      <selection pane="bottomLeft" activeCell="C69" sqref="C69:D6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333</v>
      </c>
      <c r="B1" s="1"/>
      <c r="C1" s="2" t="s">
        <v>1513</v>
      </c>
      <c r="D1" s="3">
        <f>SUM(F5:F71)</f>
        <v>168611</v>
      </c>
      <c r="E1" s="307" t="s">
        <v>1514</v>
      </c>
      <c r="F1" s="1">
        <f>SUM(G5:G71)</f>
        <v>5742639.5899999989</v>
      </c>
      <c r="G1" s="1" t="s">
        <v>1515</v>
      </c>
      <c r="H1" s="4">
        <f>L7+L13+L49+L58+L21+L63+L36+L44+L28+L71</f>
        <v>154.97142857142859</v>
      </c>
      <c r="I1" s="654" t="s">
        <v>520</v>
      </c>
      <c r="J1" s="654"/>
      <c r="K1" s="654"/>
      <c r="L1" s="654" t="s">
        <v>134</v>
      </c>
      <c r="M1" s="654"/>
      <c r="N1" s="654"/>
      <c r="O1" s="654" t="s">
        <v>135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1516</v>
      </c>
      <c r="Z1" s="6" t="s">
        <v>246</v>
      </c>
      <c r="AA1" s="655" t="s">
        <v>1517</v>
      </c>
      <c r="AB1" s="655"/>
      <c r="AC1" s="92" t="s">
        <v>1516</v>
      </c>
      <c r="AD1" s="6" t="s">
        <v>140</v>
      </c>
      <c r="AE1" s="654" t="s">
        <v>1518</v>
      </c>
      <c r="AF1" s="656"/>
      <c r="AG1" s="656"/>
    </row>
    <row r="2" spans="1:33" ht="26.25" customHeight="1">
      <c r="A2" s="25">
        <v>46219</v>
      </c>
      <c r="B2" s="26" t="s">
        <v>250</v>
      </c>
      <c r="C2" s="2" t="s">
        <v>157</v>
      </c>
      <c r="D2" s="8">
        <f>AVERAGE(N7,N13,N49,N58,N21,N63,N28,N36,N44,N71)</f>
        <v>151.00004020776541</v>
      </c>
      <c r="E2" s="9" t="s">
        <v>0</v>
      </c>
      <c r="F2" s="10">
        <f>F1/D1</f>
        <v>34.058510951242795</v>
      </c>
      <c r="G2" s="1" t="s">
        <v>1519</v>
      </c>
      <c r="H2" s="315">
        <f>COUNT(H5:H71)</f>
        <v>7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SUM(Y7+Y13+Y21+Y28+Y36+Y44+Y49+Y58+Y63+Y71)</f>
        <v>0</v>
      </c>
      <c r="Z2" s="11">
        <f>SUM(Z7+Z13+Z21+Z28+Z36+Z44+Z49+Z58+Z63+Z71)</f>
        <v>0</v>
      </c>
      <c r="AA2" s="655"/>
      <c r="AB2" s="655"/>
      <c r="AC2" s="11">
        <v>57</v>
      </c>
      <c r="AD2" s="11">
        <f>SUM(AD7+AD13+AD21+AD28+AD36+AD44+AD49+AD58+AD63+AD71)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1520</v>
      </c>
      <c r="C3" s="612" t="s">
        <v>1521</v>
      </c>
      <c r="D3" s="612"/>
      <c r="E3" s="652" t="s">
        <v>1522</v>
      </c>
      <c r="F3" s="612" t="s">
        <v>1523</v>
      </c>
      <c r="G3" s="652" t="s">
        <v>1524</v>
      </c>
      <c r="H3" s="645" t="s">
        <v>441</v>
      </c>
      <c r="I3" s="644" t="s">
        <v>153</v>
      </c>
      <c r="J3" s="641" t="s">
        <v>1525</v>
      </c>
      <c r="K3" s="650" t="s">
        <v>1494</v>
      </c>
      <c r="L3" s="644" t="s">
        <v>153</v>
      </c>
      <c r="M3" s="641" t="s">
        <v>1525</v>
      </c>
      <c r="N3" s="650" t="s">
        <v>157</v>
      </c>
      <c r="O3" s="644" t="s">
        <v>153</v>
      </c>
      <c r="P3" s="650" t="s">
        <v>1494</v>
      </c>
      <c r="Q3" s="642" t="s">
        <v>158</v>
      </c>
      <c r="R3" s="621" t="s">
        <v>541</v>
      </c>
      <c r="S3" s="651" t="s">
        <v>1</v>
      </c>
      <c r="T3" s="651"/>
      <c r="U3" s="645" t="s">
        <v>2</v>
      </c>
      <c r="V3" s="645" t="s">
        <v>1526</v>
      </c>
      <c r="W3" s="612" t="s">
        <v>1527</v>
      </c>
      <c r="X3" s="612"/>
      <c r="Y3" s="646" t="s">
        <v>1528</v>
      </c>
      <c r="Z3" s="611"/>
      <c r="AA3" s="647" t="s">
        <v>1529</v>
      </c>
      <c r="AB3" s="648"/>
      <c r="AC3" s="646" t="s">
        <v>1530</v>
      </c>
      <c r="AD3" s="611"/>
      <c r="AE3" s="641" t="s">
        <v>1531</v>
      </c>
      <c r="AF3" s="642" t="s">
        <v>1532</v>
      </c>
      <c r="AG3" s="621" t="s">
        <v>1533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314" t="s">
        <v>3</v>
      </c>
      <c r="T4" s="314" t="s">
        <v>4</v>
      </c>
      <c r="U4" s="645"/>
      <c r="V4" s="645"/>
      <c r="W4" s="307" t="s">
        <v>1534</v>
      </c>
      <c r="X4" s="307" t="s">
        <v>1535</v>
      </c>
      <c r="Y4" s="306" t="s">
        <v>1536</v>
      </c>
      <c r="Z4" s="306" t="s">
        <v>1537</v>
      </c>
      <c r="AA4" s="649"/>
      <c r="AB4" s="648"/>
      <c r="AC4" s="306" t="s">
        <v>1538</v>
      </c>
      <c r="AD4" s="306" t="s">
        <v>1539</v>
      </c>
      <c r="AE4" s="641"/>
      <c r="AF4" s="642"/>
      <c r="AG4" s="621"/>
    </row>
    <row r="5" spans="1:33">
      <c r="A5" s="643" t="s">
        <v>1540</v>
      </c>
      <c r="B5" s="27" t="s">
        <v>5</v>
      </c>
      <c r="C5" s="657" t="s">
        <v>14</v>
      </c>
      <c r="D5" s="657"/>
      <c r="E5" s="27">
        <v>50.92</v>
      </c>
      <c r="F5" s="314">
        <v>2025</v>
      </c>
      <c r="G5" s="307">
        <f t="shared" ref="G5:G6" si="0">E5*F5</f>
        <v>103113</v>
      </c>
      <c r="H5" s="31" t="s">
        <v>40</v>
      </c>
      <c r="I5" s="312">
        <v>15</v>
      </c>
      <c r="J5" s="29">
        <v>2000</v>
      </c>
      <c r="K5" s="12">
        <f t="shared" ref="K5:K68" si="1">J5/I5</f>
        <v>133.33333333333334</v>
      </c>
      <c r="L5" s="312">
        <v>15</v>
      </c>
      <c r="M5" s="13">
        <f t="shared" ref="M5:M6" si="2">F5/V5*60</f>
        <v>1928.5714285714305</v>
      </c>
      <c r="N5" s="12">
        <f t="shared" ref="N5:N68" si="3">M5/L5</f>
        <v>128.5714285714287</v>
      </c>
      <c r="O5" s="14">
        <f t="shared" ref="O5:O68" si="4">L5-I5</f>
        <v>0</v>
      </c>
      <c r="P5" s="15">
        <f t="shared" ref="P5:P68" si="5">N5-K5</f>
        <v>-4.7619047619046455</v>
      </c>
      <c r="Q5" s="308">
        <f t="shared" ref="Q5:Q68" si="6">N5/K5</f>
        <v>0.96428571428571519</v>
      </c>
      <c r="R5" s="616">
        <f>Q7</f>
        <v>0.95861344537815241</v>
      </c>
      <c r="S5" s="32">
        <v>0.70833333333333337</v>
      </c>
      <c r="T5" s="32">
        <v>0.75208333333333333</v>
      </c>
      <c r="U5" s="307"/>
      <c r="V5" s="313">
        <f t="shared" ref="V5:V6" si="7">(T5-S5)*24*60</f>
        <v>62.999999999999936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7" si="8">M5-J5</f>
        <v>-71.428571428569512</v>
      </c>
      <c r="AF5" s="308">
        <f t="shared" ref="AF5:AF68" si="9">M5/J5</f>
        <v>0.96428571428571519</v>
      </c>
      <c r="AG5" s="616">
        <f>AF7</f>
        <v>0.95861344537815241</v>
      </c>
    </row>
    <row r="6" spans="1:33">
      <c r="A6" s="644" t="s">
        <v>172</v>
      </c>
      <c r="B6" s="27" t="s">
        <v>5</v>
      </c>
      <c r="C6" s="657" t="s">
        <v>19</v>
      </c>
      <c r="D6" s="657"/>
      <c r="E6" s="27">
        <v>50.98</v>
      </c>
      <c r="F6" s="314">
        <v>2160</v>
      </c>
      <c r="G6" s="307">
        <f t="shared" si="0"/>
        <v>110116.79999999999</v>
      </c>
      <c r="H6" s="31" t="s">
        <v>40</v>
      </c>
      <c r="I6" s="312">
        <v>16</v>
      </c>
      <c r="J6" s="29">
        <v>2000</v>
      </c>
      <c r="K6" s="12">
        <f t="shared" si="1"/>
        <v>125</v>
      </c>
      <c r="L6" s="312">
        <v>16</v>
      </c>
      <c r="M6" s="13">
        <f t="shared" si="2"/>
        <v>1905.8823529411789</v>
      </c>
      <c r="N6" s="12">
        <f t="shared" si="3"/>
        <v>119.11764705882368</v>
      </c>
      <c r="O6" s="14">
        <f t="shared" si="4"/>
        <v>0</v>
      </c>
      <c r="P6" s="15">
        <f t="shared" si="5"/>
        <v>-5.8823529411763218</v>
      </c>
      <c r="Q6" s="308">
        <f t="shared" si="6"/>
        <v>0.9529411764705894</v>
      </c>
      <c r="R6" s="616"/>
      <c r="S6" s="32">
        <v>0.75763888888888886</v>
      </c>
      <c r="T6" s="32">
        <v>0.80486111111111103</v>
      </c>
      <c r="U6" s="307">
        <f t="shared" ref="U6" si="10">IF(S6=TIME(17,0,0),"",(S6-T5)*24*60)</f>
        <v>7.9999999999999716</v>
      </c>
      <c r="V6" s="313">
        <f t="shared" si="7"/>
        <v>67.999999999999915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-94.117647058821149</v>
      </c>
      <c r="AF6" s="308">
        <f t="shared" si="9"/>
        <v>0.9529411764705894</v>
      </c>
      <c r="AG6" s="616"/>
    </row>
    <row r="7" spans="1:33">
      <c r="A7" s="644" t="s">
        <v>172</v>
      </c>
      <c r="B7" s="27" t="s">
        <v>174</v>
      </c>
      <c r="C7" s="658"/>
      <c r="D7" s="658"/>
      <c r="E7" s="309"/>
      <c r="F7" s="28"/>
      <c r="G7" s="12"/>
      <c r="H7" s="314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1917.2268907563048</v>
      </c>
      <c r="N7" s="12">
        <f t="shared" si="3"/>
        <v>123.69205746814869</v>
      </c>
      <c r="O7" s="14">
        <f t="shared" si="4"/>
        <v>0</v>
      </c>
      <c r="P7" s="15">
        <f t="shared" si="5"/>
        <v>-5.3402005963674384</v>
      </c>
      <c r="Q7" s="308">
        <f t="shared" si="6"/>
        <v>0.95861344537815241</v>
      </c>
      <c r="R7" s="616"/>
      <c r="S7" s="32"/>
      <c r="T7" s="32"/>
      <c r="U7" s="307"/>
      <c r="V7" s="31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-82.773109243695217</v>
      </c>
      <c r="AF7" s="308">
        <f t="shared" si="9"/>
        <v>0.95861344537815241</v>
      </c>
      <c r="AG7" s="616"/>
    </row>
    <row r="8" spans="1:33" ht="15.75" customHeight="1">
      <c r="A8" s="640" t="s">
        <v>176</v>
      </c>
      <c r="B8" s="27" t="s">
        <v>8</v>
      </c>
      <c r="C8" s="638" t="s">
        <v>10</v>
      </c>
      <c r="D8" s="639"/>
      <c r="E8" s="27">
        <v>39.799999999999997</v>
      </c>
      <c r="F8" s="314">
        <v>3400</v>
      </c>
      <c r="G8" s="307">
        <f t="shared" ref="G8:G12" si="11">E8*F8</f>
        <v>135320</v>
      </c>
      <c r="H8" s="31">
        <v>2</v>
      </c>
      <c r="I8" s="312">
        <v>17</v>
      </c>
      <c r="J8" s="29">
        <v>1500</v>
      </c>
      <c r="K8" s="12">
        <f t="shared" si="1"/>
        <v>88.235294117647058</v>
      </c>
      <c r="L8" s="312">
        <v>17</v>
      </c>
      <c r="M8" s="13">
        <f t="shared" ref="M8:M12" si="12">F8/V8*60</f>
        <v>1426.5734265734266</v>
      </c>
      <c r="N8" s="12">
        <f t="shared" si="3"/>
        <v>83.91608391608392</v>
      </c>
      <c r="O8" s="14">
        <f t="shared" si="4"/>
        <v>0</v>
      </c>
      <c r="P8" s="15">
        <f t="shared" si="5"/>
        <v>-4.3192102015631377</v>
      </c>
      <c r="Q8" s="308">
        <f t="shared" si="6"/>
        <v>0.95104895104895115</v>
      </c>
      <c r="R8" s="616">
        <f>Q13</f>
        <v>0.95631115492010998</v>
      </c>
      <c r="S8" s="32">
        <v>8.3333333333333329E-2</v>
      </c>
      <c r="T8" s="32">
        <v>0.18263888888888888</v>
      </c>
      <c r="U8" s="307"/>
      <c r="V8" s="313">
        <f t="shared" ref="V8:V12" si="13">(T8-S8)*24*60</f>
        <v>143</v>
      </c>
      <c r="W8" s="16">
        <f>T8</f>
        <v>0.18263888888888888</v>
      </c>
      <c r="X8" s="16">
        <f>S9</f>
        <v>0.20138888888888887</v>
      </c>
      <c r="Y8" s="16"/>
      <c r="Z8" s="16"/>
      <c r="AA8" s="612"/>
      <c r="AB8" s="612"/>
      <c r="AC8" s="18">
        <v>5</v>
      </c>
      <c r="AD8" s="18"/>
      <c r="AE8" s="14">
        <f t="shared" si="8"/>
        <v>-73.426573426573441</v>
      </c>
      <c r="AF8" s="308">
        <f t="shared" si="9"/>
        <v>0.95104895104895104</v>
      </c>
      <c r="AG8" s="616">
        <f>AF13</f>
        <v>0.95631115492010987</v>
      </c>
    </row>
    <row r="9" spans="1:33" ht="15.75" customHeight="1">
      <c r="A9" s="640" t="s">
        <v>176</v>
      </c>
      <c r="B9" s="27" t="s">
        <v>8</v>
      </c>
      <c r="C9" s="638" t="s">
        <v>63</v>
      </c>
      <c r="D9" s="639"/>
      <c r="E9" s="27">
        <v>39.46</v>
      </c>
      <c r="F9" s="314">
        <v>3357</v>
      </c>
      <c r="G9" s="307">
        <f t="shared" si="11"/>
        <v>132467.22</v>
      </c>
      <c r="H9" s="31" t="s">
        <v>40</v>
      </c>
      <c r="I9" s="312">
        <v>15</v>
      </c>
      <c r="J9" s="29">
        <v>1500</v>
      </c>
      <c r="K9" s="12">
        <f t="shared" si="1"/>
        <v>100</v>
      </c>
      <c r="L9" s="312">
        <v>15</v>
      </c>
      <c r="M9" s="13">
        <f t="shared" si="12"/>
        <v>1438.7142857142856</v>
      </c>
      <c r="N9" s="12">
        <f t="shared" si="3"/>
        <v>95.914285714285697</v>
      </c>
      <c r="O9" s="14">
        <f t="shared" si="4"/>
        <v>0</v>
      </c>
      <c r="P9" s="15">
        <f t="shared" si="5"/>
        <v>-4.0857142857143032</v>
      </c>
      <c r="Q9" s="308">
        <f t="shared" si="6"/>
        <v>0.95914285714285696</v>
      </c>
      <c r="R9" s="616"/>
      <c r="S9" s="32">
        <v>0.20138888888888887</v>
      </c>
      <c r="T9" s="32">
        <v>0.2986111111111111</v>
      </c>
      <c r="U9" s="307">
        <f t="shared" ref="U9:U12" si="14">IF(S9=TIME(17,0,0),"",(S9-T8)*24*60)</f>
        <v>26.999999999999986</v>
      </c>
      <c r="V9" s="313">
        <f t="shared" si="13"/>
        <v>140.00000000000003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-61.285714285714448</v>
      </c>
      <c r="AF9" s="308">
        <f t="shared" si="9"/>
        <v>0.95914285714285707</v>
      </c>
      <c r="AG9" s="616"/>
    </row>
    <row r="10" spans="1:33" ht="15.75" customHeight="1">
      <c r="A10" s="640" t="s">
        <v>176</v>
      </c>
      <c r="B10" s="27" t="s">
        <v>8</v>
      </c>
      <c r="C10" s="638" t="s">
        <v>74</v>
      </c>
      <c r="D10" s="639"/>
      <c r="E10" s="27">
        <v>39.520000000000003</v>
      </c>
      <c r="F10" s="314">
        <v>2634</v>
      </c>
      <c r="G10" s="307">
        <f t="shared" si="11"/>
        <v>104095.68000000001</v>
      </c>
      <c r="H10" s="31" t="s">
        <v>40</v>
      </c>
      <c r="I10" s="312">
        <v>19</v>
      </c>
      <c r="J10" s="29">
        <v>1500</v>
      </c>
      <c r="K10" s="12">
        <f t="shared" si="1"/>
        <v>78.94736842105263</v>
      </c>
      <c r="L10" s="312">
        <v>19</v>
      </c>
      <c r="M10" s="13">
        <f t="shared" si="12"/>
        <v>1436.7272727272725</v>
      </c>
      <c r="N10" s="12">
        <f t="shared" si="3"/>
        <v>75.617224880382764</v>
      </c>
      <c r="O10" s="14">
        <f t="shared" si="4"/>
        <v>0</v>
      </c>
      <c r="P10" s="15">
        <f t="shared" si="5"/>
        <v>-3.3301435406698658</v>
      </c>
      <c r="Q10" s="308">
        <f t="shared" si="6"/>
        <v>0.95781818181818168</v>
      </c>
      <c r="R10" s="616"/>
      <c r="S10" s="32">
        <v>0.30277777777777776</v>
      </c>
      <c r="T10" s="32">
        <v>0.37916666666666665</v>
      </c>
      <c r="U10" s="307">
        <f t="shared" si="14"/>
        <v>5.9999999999999787</v>
      </c>
      <c r="V10" s="313">
        <f t="shared" si="13"/>
        <v>110.00000000000001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-63.272727272727479</v>
      </c>
      <c r="AF10" s="308">
        <f t="shared" si="9"/>
        <v>0.95781818181818168</v>
      </c>
      <c r="AG10" s="616"/>
    </row>
    <row r="11" spans="1:33" ht="15.75" customHeight="1">
      <c r="A11" s="640" t="s">
        <v>176</v>
      </c>
      <c r="B11" s="27" t="s">
        <v>8</v>
      </c>
      <c r="C11" s="638" t="s">
        <v>9</v>
      </c>
      <c r="D11" s="639"/>
      <c r="E11" s="27">
        <v>39.619999999999997</v>
      </c>
      <c r="F11" s="314">
        <v>4797</v>
      </c>
      <c r="G11" s="307">
        <f t="shared" si="11"/>
        <v>190057.13999999998</v>
      </c>
      <c r="H11" s="31" t="s">
        <v>40</v>
      </c>
      <c r="I11" s="312">
        <v>19</v>
      </c>
      <c r="J11" s="29">
        <v>1500</v>
      </c>
      <c r="K11" s="12">
        <f t="shared" si="1"/>
        <v>78.94736842105263</v>
      </c>
      <c r="L11" s="312">
        <v>19</v>
      </c>
      <c r="M11" s="13">
        <f t="shared" si="12"/>
        <v>1431.9402985074621</v>
      </c>
      <c r="N11" s="12">
        <f t="shared" si="3"/>
        <v>75.365278868813789</v>
      </c>
      <c r="O11" s="14">
        <f t="shared" si="4"/>
        <v>0</v>
      </c>
      <c r="P11" s="15">
        <f t="shared" si="5"/>
        <v>-3.5820895522388412</v>
      </c>
      <c r="Q11" s="308">
        <f t="shared" si="6"/>
        <v>0.95462686567164134</v>
      </c>
      <c r="R11" s="616"/>
      <c r="S11" s="32">
        <v>0.3833333333333333</v>
      </c>
      <c r="T11" s="32">
        <v>0.5229166666666667</v>
      </c>
      <c r="U11" s="307">
        <f t="shared" si="14"/>
        <v>5.9999999999999787</v>
      </c>
      <c r="V11" s="313">
        <f t="shared" si="13"/>
        <v>201.00000000000009</v>
      </c>
      <c r="W11" s="16">
        <f>T11</f>
        <v>0.5229166666666667</v>
      </c>
      <c r="X11" s="16">
        <f>S12</f>
        <v>0.56388888888888888</v>
      </c>
      <c r="Y11" s="16"/>
      <c r="Z11" s="16"/>
      <c r="AA11" s="607"/>
      <c r="AB11" s="608"/>
      <c r="AC11" s="18"/>
      <c r="AD11" s="18"/>
      <c r="AE11" s="14">
        <f t="shared" si="8"/>
        <v>-68.059701492537897</v>
      </c>
      <c r="AF11" s="308">
        <f t="shared" si="9"/>
        <v>0.95462686567164146</v>
      </c>
      <c r="AG11" s="616"/>
    </row>
    <row r="12" spans="1:33" ht="15.75" customHeight="1">
      <c r="A12" s="640" t="s">
        <v>1541</v>
      </c>
      <c r="B12" s="27" t="s">
        <v>8</v>
      </c>
      <c r="C12" s="638" t="s">
        <v>10</v>
      </c>
      <c r="D12" s="639"/>
      <c r="E12" s="27">
        <v>39.799999999999997</v>
      </c>
      <c r="F12" s="314">
        <v>2661</v>
      </c>
      <c r="G12" s="307">
        <f t="shared" si="11"/>
        <v>105907.79999999999</v>
      </c>
      <c r="H12" s="31" t="s">
        <v>40</v>
      </c>
      <c r="I12" s="312">
        <v>17</v>
      </c>
      <c r="J12" s="29">
        <v>1500</v>
      </c>
      <c r="K12" s="12">
        <f t="shared" si="1"/>
        <v>88.235294117647058</v>
      </c>
      <c r="L12" s="312">
        <v>17</v>
      </c>
      <c r="M12" s="13">
        <f t="shared" si="12"/>
        <v>1438.3783783783772</v>
      </c>
      <c r="N12" s="12">
        <f t="shared" si="3"/>
        <v>84.610492845786894</v>
      </c>
      <c r="O12" s="14">
        <f t="shared" si="4"/>
        <v>0</v>
      </c>
      <c r="P12" s="15">
        <f t="shared" si="5"/>
        <v>-3.6248012718601643</v>
      </c>
      <c r="Q12" s="308">
        <f t="shared" si="6"/>
        <v>0.95891891891891812</v>
      </c>
      <c r="R12" s="616"/>
      <c r="S12" s="32">
        <v>0.56388888888888888</v>
      </c>
      <c r="T12" s="32">
        <v>0.64097222222222228</v>
      </c>
      <c r="U12" s="307">
        <f t="shared" si="14"/>
        <v>58.99999999999995</v>
      </c>
      <c r="V12" s="313">
        <f t="shared" si="13"/>
        <v>111.00000000000009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-61.621621621622808</v>
      </c>
      <c r="AF12" s="308">
        <f t="shared" si="9"/>
        <v>0.95891891891891812</v>
      </c>
      <c r="AG12" s="616"/>
    </row>
    <row r="13" spans="1:33" ht="16.5" customHeight="1">
      <c r="A13" s="640" t="s">
        <v>1541</v>
      </c>
      <c r="B13" s="27" t="s">
        <v>1542</v>
      </c>
      <c r="C13" s="658"/>
      <c r="D13" s="658"/>
      <c r="E13" s="309"/>
      <c r="F13" s="29"/>
      <c r="G13" s="13"/>
      <c r="H13" s="314"/>
      <c r="I13" s="21">
        <v>17.399999999999999</v>
      </c>
      <c r="J13" s="29">
        <v>1500</v>
      </c>
      <c r="K13" s="12">
        <f t="shared" si="1"/>
        <v>86.206896551724142</v>
      </c>
      <c r="L13" s="21">
        <v>17.399999999999999</v>
      </c>
      <c r="M13" s="13">
        <f>AVERAGE(M8:M12)</f>
        <v>1434.4667323801648</v>
      </c>
      <c r="N13" s="12">
        <f t="shared" si="3"/>
        <v>82.440616803457758</v>
      </c>
      <c r="O13" s="14">
        <f t="shared" si="4"/>
        <v>0</v>
      </c>
      <c r="P13" s="15">
        <f t="shared" si="5"/>
        <v>-3.7662797482663848</v>
      </c>
      <c r="Q13" s="308">
        <f t="shared" si="6"/>
        <v>0.95631115492010998</v>
      </c>
      <c r="R13" s="616"/>
      <c r="S13" s="32"/>
      <c r="T13" s="32"/>
      <c r="U13" s="12"/>
      <c r="V13" s="313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-65.533267619835215</v>
      </c>
      <c r="AF13" s="308">
        <f t="shared" si="9"/>
        <v>0.95631115492010987</v>
      </c>
      <c r="AG13" s="616"/>
    </row>
    <row r="14" spans="1:33" ht="16.5" customHeight="1">
      <c r="A14" s="636" t="s">
        <v>1543</v>
      </c>
      <c r="B14" s="314" t="s">
        <v>1134</v>
      </c>
      <c r="C14" s="659" t="s">
        <v>1035</v>
      </c>
      <c r="D14" s="659"/>
      <c r="E14" s="27">
        <v>31.11</v>
      </c>
      <c r="F14" s="314">
        <v>3754</v>
      </c>
      <c r="G14" s="307">
        <f t="shared" ref="G14:G20" si="15">E14*F14</f>
        <v>116786.94</v>
      </c>
      <c r="H14" s="31" t="s">
        <v>40</v>
      </c>
      <c r="I14" s="312">
        <v>14</v>
      </c>
      <c r="J14" s="29">
        <v>2000</v>
      </c>
      <c r="K14" s="12">
        <f t="shared" si="1"/>
        <v>142.85714285714286</v>
      </c>
      <c r="L14" s="312">
        <v>14</v>
      </c>
      <c r="M14" s="13">
        <f t="shared" ref="M14:M20" si="16">F14/V14*60</f>
        <v>1908.8135593220341</v>
      </c>
      <c r="N14" s="12">
        <f t="shared" si="3"/>
        <v>136.34382566585958</v>
      </c>
      <c r="O14" s="14">
        <f t="shared" si="4"/>
        <v>0</v>
      </c>
      <c r="P14" s="15">
        <f t="shared" si="5"/>
        <v>-6.5133171912832779</v>
      </c>
      <c r="Q14" s="308">
        <f t="shared" si="6"/>
        <v>0.95440677966101706</v>
      </c>
      <c r="R14" s="616">
        <f>Q21</f>
        <v>0.95650007082850375</v>
      </c>
      <c r="S14" s="32">
        <v>8.3333333333333329E-2</v>
      </c>
      <c r="T14" s="32">
        <v>0.16527777777777777</v>
      </c>
      <c r="U14" s="307"/>
      <c r="V14" s="313">
        <f t="shared" ref="V14:V20" si="17">(T14-S14)*24*60</f>
        <v>118</v>
      </c>
      <c r="W14" s="16">
        <f>T14</f>
        <v>0.16527777777777777</v>
      </c>
      <c r="X14" s="16">
        <f>S15</f>
        <v>0.18402777777777776</v>
      </c>
      <c r="Y14" s="20"/>
      <c r="Z14" s="20"/>
      <c r="AA14" s="612"/>
      <c r="AB14" s="612"/>
      <c r="AC14" s="18">
        <v>7</v>
      </c>
      <c r="AD14" s="18"/>
      <c r="AE14" s="14">
        <f t="shared" si="8"/>
        <v>-91.186440677965948</v>
      </c>
      <c r="AF14" s="308">
        <f t="shared" si="9"/>
        <v>0.95440677966101706</v>
      </c>
      <c r="AG14" s="616">
        <f>AF21</f>
        <v>0.95650007082850375</v>
      </c>
    </row>
    <row r="15" spans="1:33" ht="16.5" customHeight="1">
      <c r="A15" s="637" t="s">
        <v>1543</v>
      </c>
      <c r="B15" s="314" t="s">
        <v>1134</v>
      </c>
      <c r="C15" s="659" t="s">
        <v>1036</v>
      </c>
      <c r="D15" s="659"/>
      <c r="E15" s="27">
        <v>38.99</v>
      </c>
      <c r="F15" s="314">
        <v>1458</v>
      </c>
      <c r="G15" s="307">
        <f t="shared" si="15"/>
        <v>56847.420000000006</v>
      </c>
      <c r="H15" s="31" t="s">
        <v>40</v>
      </c>
      <c r="I15" s="312">
        <v>14</v>
      </c>
      <c r="J15" s="29">
        <v>2000</v>
      </c>
      <c r="K15" s="12">
        <f t="shared" si="1"/>
        <v>142.85714285714286</v>
      </c>
      <c r="L15" s="312">
        <v>14</v>
      </c>
      <c r="M15" s="13">
        <f t="shared" si="16"/>
        <v>1944</v>
      </c>
      <c r="N15" s="12">
        <f t="shared" si="3"/>
        <v>138.85714285714286</v>
      </c>
      <c r="O15" s="14">
        <f t="shared" si="4"/>
        <v>0</v>
      </c>
      <c r="P15" s="15">
        <f t="shared" si="5"/>
        <v>-4</v>
      </c>
      <c r="Q15" s="308">
        <f t="shared" si="6"/>
        <v>0.97199999999999998</v>
      </c>
      <c r="R15" s="616"/>
      <c r="S15" s="32">
        <v>0.18402777777777776</v>
      </c>
      <c r="T15" s="32">
        <v>0.21527777777777776</v>
      </c>
      <c r="U15" s="307">
        <f t="shared" ref="U15:U20" si="18">IF(S15=TIME(17,0,0),"",(S15-T14)*24*60)</f>
        <v>26.999999999999986</v>
      </c>
      <c r="V15" s="313">
        <f t="shared" si="17"/>
        <v>45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-56</v>
      </c>
      <c r="AF15" s="308">
        <f t="shared" si="9"/>
        <v>0.97199999999999998</v>
      </c>
      <c r="AG15" s="616"/>
    </row>
    <row r="16" spans="1:33" ht="16.5" customHeight="1">
      <c r="A16" s="637" t="s">
        <v>1543</v>
      </c>
      <c r="B16" s="314" t="s">
        <v>11</v>
      </c>
      <c r="C16" s="659" t="s">
        <v>67</v>
      </c>
      <c r="D16" s="659"/>
      <c r="E16" s="27">
        <v>38.619999999999997</v>
      </c>
      <c r="F16" s="314">
        <v>2212</v>
      </c>
      <c r="G16" s="307">
        <f t="shared" si="15"/>
        <v>85427.439999999988</v>
      </c>
      <c r="H16" s="31" t="s">
        <v>40</v>
      </c>
      <c r="I16" s="312">
        <v>24</v>
      </c>
      <c r="J16" s="29">
        <v>1500</v>
      </c>
      <c r="K16" s="12">
        <f t="shared" si="1"/>
        <v>62.5</v>
      </c>
      <c r="L16" s="312">
        <v>24</v>
      </c>
      <c r="M16" s="13">
        <f t="shared" si="16"/>
        <v>1427.0967741935481</v>
      </c>
      <c r="N16" s="12">
        <f t="shared" si="3"/>
        <v>59.462365591397834</v>
      </c>
      <c r="O16" s="14">
        <f t="shared" si="4"/>
        <v>0</v>
      </c>
      <c r="P16" s="15">
        <f t="shared" si="5"/>
        <v>-3.037634408602166</v>
      </c>
      <c r="Q16" s="308">
        <f t="shared" si="6"/>
        <v>0.95139784946236539</v>
      </c>
      <c r="R16" s="616"/>
      <c r="S16" s="32">
        <v>0.21874999999999997</v>
      </c>
      <c r="T16" s="32">
        <v>0.28333333333333333</v>
      </c>
      <c r="U16" s="307">
        <f t="shared" si="18"/>
        <v>4.9999999999999822</v>
      </c>
      <c r="V16" s="313">
        <f t="shared" si="17"/>
        <v>93.000000000000028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-72.903225806451928</v>
      </c>
      <c r="AF16" s="308">
        <f t="shared" si="9"/>
        <v>0.95139784946236539</v>
      </c>
      <c r="AG16" s="616"/>
    </row>
    <row r="17" spans="1:33" ht="16.5" customHeight="1">
      <c r="A17" s="637" t="s">
        <v>1543</v>
      </c>
      <c r="B17" s="314" t="s">
        <v>11</v>
      </c>
      <c r="C17" s="659" t="s">
        <v>12</v>
      </c>
      <c r="D17" s="659"/>
      <c r="E17" s="27">
        <v>41</v>
      </c>
      <c r="F17" s="314">
        <v>1820</v>
      </c>
      <c r="G17" s="307">
        <f t="shared" si="15"/>
        <v>74620</v>
      </c>
      <c r="H17" s="31" t="s">
        <v>40</v>
      </c>
      <c r="I17" s="312">
        <v>26</v>
      </c>
      <c r="J17" s="29">
        <v>1500</v>
      </c>
      <c r="K17" s="12">
        <f t="shared" si="1"/>
        <v>57.692307692307693</v>
      </c>
      <c r="L17" s="312">
        <v>26</v>
      </c>
      <c r="M17" s="13">
        <f t="shared" si="16"/>
        <v>1436.8421052631584</v>
      </c>
      <c r="N17" s="12">
        <f t="shared" si="3"/>
        <v>55.263157894736864</v>
      </c>
      <c r="O17" s="14">
        <f t="shared" si="4"/>
        <v>0</v>
      </c>
      <c r="P17" s="15">
        <f t="shared" si="5"/>
        <v>-2.4291497975708296</v>
      </c>
      <c r="Q17" s="308">
        <f t="shared" si="6"/>
        <v>0.95789473684210558</v>
      </c>
      <c r="R17" s="616"/>
      <c r="S17" s="32">
        <v>0.28819444444444442</v>
      </c>
      <c r="T17" s="32">
        <v>0.34097222222222218</v>
      </c>
      <c r="U17" s="307">
        <f t="shared" si="18"/>
        <v>6.9999999999999751</v>
      </c>
      <c r="V17" s="313">
        <f t="shared" si="17"/>
        <v>75.999999999999972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-63.157894736841627</v>
      </c>
      <c r="AF17" s="308">
        <f t="shared" si="9"/>
        <v>0.95789473684210558</v>
      </c>
      <c r="AG17" s="616"/>
    </row>
    <row r="18" spans="1:33" ht="16.5" customHeight="1">
      <c r="A18" s="637" t="s">
        <v>1544</v>
      </c>
      <c r="B18" s="314" t="s">
        <v>5</v>
      </c>
      <c r="C18" s="659" t="s">
        <v>66</v>
      </c>
      <c r="D18" s="659"/>
      <c r="E18" s="27">
        <v>37.03</v>
      </c>
      <c r="F18" s="314">
        <v>3338</v>
      </c>
      <c r="G18" s="307">
        <f t="shared" si="15"/>
        <v>123606.14</v>
      </c>
      <c r="H18" s="31" t="s">
        <v>40</v>
      </c>
      <c r="I18" s="312">
        <v>13</v>
      </c>
      <c r="J18" s="29">
        <v>1500</v>
      </c>
      <c r="K18" s="12">
        <f t="shared" si="1"/>
        <v>115.38461538461539</v>
      </c>
      <c r="L18" s="312">
        <v>13</v>
      </c>
      <c r="M18" s="13">
        <f t="shared" si="16"/>
        <v>1430.5714285714289</v>
      </c>
      <c r="N18" s="12">
        <f t="shared" si="3"/>
        <v>110.04395604395607</v>
      </c>
      <c r="O18" s="14">
        <f t="shared" si="4"/>
        <v>0</v>
      </c>
      <c r="P18" s="15">
        <f t="shared" si="5"/>
        <v>-5.3406593406593146</v>
      </c>
      <c r="Q18" s="308">
        <f t="shared" si="6"/>
        <v>0.95371428571428596</v>
      </c>
      <c r="R18" s="616"/>
      <c r="S18" s="32">
        <v>0.34513888888888883</v>
      </c>
      <c r="T18" s="32">
        <v>0.44236111111111104</v>
      </c>
      <c r="U18" s="307">
        <f t="shared" si="18"/>
        <v>5.9999999999999787</v>
      </c>
      <c r="V18" s="313">
        <f t="shared" si="17"/>
        <v>139.99999999999997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-69.428571428571104</v>
      </c>
      <c r="AF18" s="308">
        <f t="shared" si="9"/>
        <v>0.95371428571428596</v>
      </c>
      <c r="AG18" s="616"/>
    </row>
    <row r="19" spans="1:33" ht="16.5" customHeight="1">
      <c r="A19" s="637" t="s">
        <v>1543</v>
      </c>
      <c r="B19" s="314" t="s">
        <v>5</v>
      </c>
      <c r="C19" s="310" t="s">
        <v>6</v>
      </c>
      <c r="D19" s="311"/>
      <c r="E19" s="27">
        <v>50.67</v>
      </c>
      <c r="F19" s="314">
        <v>1491</v>
      </c>
      <c r="G19" s="307">
        <f t="shared" si="15"/>
        <v>75548.97</v>
      </c>
      <c r="H19" s="31" t="s">
        <v>40</v>
      </c>
      <c r="I19" s="312">
        <v>17</v>
      </c>
      <c r="J19" s="29">
        <v>2000</v>
      </c>
      <c r="K19" s="12">
        <f t="shared" si="1"/>
        <v>117.64705882352941</v>
      </c>
      <c r="L19" s="312">
        <v>17</v>
      </c>
      <c r="M19" s="13">
        <f t="shared" si="16"/>
        <v>1903.4042553191491</v>
      </c>
      <c r="N19" s="12">
        <f t="shared" si="3"/>
        <v>111.96495619524407</v>
      </c>
      <c r="O19" s="14">
        <f t="shared" si="4"/>
        <v>0</v>
      </c>
      <c r="P19" s="15">
        <f t="shared" si="5"/>
        <v>-5.6821026282853353</v>
      </c>
      <c r="Q19" s="308">
        <f t="shared" si="6"/>
        <v>0.95170212765957463</v>
      </c>
      <c r="R19" s="616"/>
      <c r="S19" s="32">
        <v>0.70833333333333337</v>
      </c>
      <c r="T19" s="32">
        <v>0.74097222222222225</v>
      </c>
      <c r="U19" s="307" t="str">
        <f t="shared" si="18"/>
        <v/>
      </c>
      <c r="V19" s="313">
        <f t="shared" si="17"/>
        <v>46.999999999999993</v>
      </c>
      <c r="W19" s="16"/>
      <c r="X19" s="16"/>
      <c r="Y19" s="19"/>
      <c r="Z19" s="19"/>
      <c r="AA19" s="303"/>
      <c r="AB19" s="304"/>
      <c r="AC19" s="18"/>
      <c r="AD19" s="18"/>
      <c r="AE19" s="14">
        <f t="shared" si="8"/>
        <v>-96.595744680850885</v>
      </c>
      <c r="AF19" s="308">
        <f t="shared" si="9"/>
        <v>0.95170212765957451</v>
      </c>
      <c r="AG19" s="616"/>
    </row>
    <row r="20" spans="1:33" ht="16.5" customHeight="1">
      <c r="A20" s="637" t="s">
        <v>1543</v>
      </c>
      <c r="B20" s="314" t="s">
        <v>5</v>
      </c>
      <c r="C20" s="310" t="s">
        <v>615</v>
      </c>
      <c r="D20" s="311"/>
      <c r="E20" s="27">
        <v>54.5</v>
      </c>
      <c r="F20" s="314">
        <v>2355</v>
      </c>
      <c r="G20" s="307">
        <f t="shared" si="15"/>
        <v>128347.5</v>
      </c>
      <c r="H20" s="31" t="s">
        <v>40</v>
      </c>
      <c r="I20" s="312">
        <v>20</v>
      </c>
      <c r="J20" s="29">
        <v>1500</v>
      </c>
      <c r="K20" s="12">
        <f t="shared" si="1"/>
        <v>75</v>
      </c>
      <c r="L20" s="312">
        <v>20</v>
      </c>
      <c r="M20" s="13">
        <f t="shared" si="16"/>
        <v>1427.2727272727277</v>
      </c>
      <c r="N20" s="12">
        <f t="shared" si="3"/>
        <v>71.363636363636388</v>
      </c>
      <c r="O20" s="14">
        <f t="shared" si="4"/>
        <v>0</v>
      </c>
      <c r="P20" s="15">
        <f t="shared" si="5"/>
        <v>-3.6363636363636118</v>
      </c>
      <c r="Q20" s="308">
        <f t="shared" si="6"/>
        <v>0.95151515151515187</v>
      </c>
      <c r="R20" s="616"/>
      <c r="S20" s="32">
        <v>0.74444444444444446</v>
      </c>
      <c r="T20" s="32">
        <v>0.81319444444444444</v>
      </c>
      <c r="U20" s="307">
        <f t="shared" si="18"/>
        <v>4.9999999999999822</v>
      </c>
      <c r="V20" s="313">
        <f t="shared" si="17"/>
        <v>98.999999999999972</v>
      </c>
      <c r="W20" s="16"/>
      <c r="X20" s="16"/>
      <c r="Y20" s="19"/>
      <c r="Z20" s="19"/>
      <c r="AA20" s="303"/>
      <c r="AB20" s="304"/>
      <c r="AC20" s="18"/>
      <c r="AD20" s="18"/>
      <c r="AE20" s="14">
        <f t="shared" si="8"/>
        <v>-72.727272727272293</v>
      </c>
      <c r="AF20" s="308">
        <f t="shared" si="9"/>
        <v>0.95151515151515176</v>
      </c>
      <c r="AG20" s="616"/>
    </row>
    <row r="21" spans="1:33" ht="16.5" customHeight="1">
      <c r="A21" s="637" t="s">
        <v>1543</v>
      </c>
      <c r="B21" s="27" t="s">
        <v>1542</v>
      </c>
      <c r="C21" s="658"/>
      <c r="D21" s="658"/>
      <c r="E21" s="309"/>
      <c r="F21" s="28"/>
      <c r="G21" s="12"/>
      <c r="H21" s="314"/>
      <c r="I21" s="21">
        <v>18.285714285714285</v>
      </c>
      <c r="J21" s="29">
        <v>1714.2857142857142</v>
      </c>
      <c r="K21" s="12">
        <f t="shared" si="1"/>
        <v>93.75</v>
      </c>
      <c r="L21" s="21">
        <v>18.285714285714285</v>
      </c>
      <c r="M21" s="13">
        <f>AVERAGE(M14:M20)</f>
        <v>1639.7144071345779</v>
      </c>
      <c r="N21" s="12">
        <f t="shared" si="3"/>
        <v>89.671881640172231</v>
      </c>
      <c r="O21" s="14">
        <f t="shared" si="4"/>
        <v>0</v>
      </c>
      <c r="P21" s="15">
        <f t="shared" si="5"/>
        <v>-4.0781183598277693</v>
      </c>
      <c r="Q21" s="308">
        <f t="shared" si="6"/>
        <v>0.95650007082850375</v>
      </c>
      <c r="R21" s="616"/>
      <c r="S21" s="32"/>
      <c r="T21" s="32"/>
      <c r="U21" s="307"/>
      <c r="V21" s="313"/>
      <c r="W21" s="12"/>
      <c r="X21" s="12"/>
      <c r="Y21" s="22">
        <f>SUM(Y14:Y20)</f>
        <v>0</v>
      </c>
      <c r="Z21" s="22">
        <f>SUM(Z14:Z20)</f>
        <v>0</v>
      </c>
      <c r="AA21" s="611"/>
      <c r="AB21" s="611"/>
      <c r="AC21" s="22">
        <v>7</v>
      </c>
      <c r="AD21" s="22">
        <f>SUM(AD14:AD20)</f>
        <v>0</v>
      </c>
      <c r="AE21" s="14">
        <f t="shared" si="8"/>
        <v>-74.571307151136352</v>
      </c>
      <c r="AF21" s="308">
        <f t="shared" si="9"/>
        <v>0.95650007082850375</v>
      </c>
      <c r="AG21" s="616"/>
    </row>
    <row r="22" spans="1:33" ht="15.75" customHeight="1">
      <c r="A22" s="634" t="s">
        <v>1545</v>
      </c>
      <c r="B22" s="27" t="s">
        <v>5</v>
      </c>
      <c r="C22" s="659" t="s">
        <v>16</v>
      </c>
      <c r="D22" s="659"/>
      <c r="E22" s="27">
        <v>50.67</v>
      </c>
      <c r="F22" s="314">
        <v>2204</v>
      </c>
      <c r="G22" s="307">
        <f t="shared" ref="G22:G27" si="19">E22*F22</f>
        <v>111676.68000000001</v>
      </c>
      <c r="H22" s="31" t="s">
        <v>40</v>
      </c>
      <c r="I22" s="312">
        <v>17</v>
      </c>
      <c r="J22" s="29">
        <v>2000</v>
      </c>
      <c r="K22" s="12">
        <f t="shared" si="1"/>
        <v>117.64705882352941</v>
      </c>
      <c r="L22" s="312">
        <v>17</v>
      </c>
      <c r="M22" s="13">
        <f t="shared" ref="M22:M27" si="20">F22/V22*60</f>
        <v>1916.5217391304361</v>
      </c>
      <c r="N22" s="12">
        <f t="shared" si="3"/>
        <v>112.73657289002566</v>
      </c>
      <c r="O22" s="14">
        <f t="shared" si="4"/>
        <v>0</v>
      </c>
      <c r="P22" s="15">
        <f t="shared" si="5"/>
        <v>-4.9104859335037503</v>
      </c>
      <c r="Q22" s="308">
        <f t="shared" si="6"/>
        <v>0.95826086956521817</v>
      </c>
      <c r="R22" s="616">
        <f>Q28</f>
        <v>0.95755966487319177</v>
      </c>
      <c r="S22" s="32">
        <v>0.20833333333333334</v>
      </c>
      <c r="T22" s="32">
        <v>0.25624999999999998</v>
      </c>
      <c r="U22" s="307"/>
      <c r="V22" s="313">
        <f t="shared" ref="V22:V27" si="21">(T22-S22)*24*60</f>
        <v>68.999999999999957</v>
      </c>
      <c r="W22" s="16"/>
      <c r="X22" s="16"/>
      <c r="Y22" s="20"/>
      <c r="Z22" s="20"/>
      <c r="AA22" s="612"/>
      <c r="AB22" s="612"/>
      <c r="AC22" s="18">
        <v>6</v>
      </c>
      <c r="AD22" s="18"/>
      <c r="AE22" s="14">
        <f t="shared" si="8"/>
        <v>-83.478260869563883</v>
      </c>
      <c r="AF22" s="308">
        <f t="shared" si="9"/>
        <v>0.95826086956521805</v>
      </c>
      <c r="AG22" s="616">
        <f>AF28</f>
        <v>0.95755966487319177</v>
      </c>
    </row>
    <row r="23" spans="1:33" ht="15.75" customHeight="1">
      <c r="A23" s="635" t="s">
        <v>1546</v>
      </c>
      <c r="B23" s="27" t="s">
        <v>5</v>
      </c>
      <c r="C23" s="659" t="s">
        <v>17</v>
      </c>
      <c r="D23" s="659"/>
      <c r="E23" s="27">
        <v>57.73</v>
      </c>
      <c r="F23" s="314">
        <v>2533</v>
      </c>
      <c r="G23" s="307">
        <f t="shared" si="19"/>
        <v>146230.09</v>
      </c>
      <c r="H23" s="31" t="s">
        <v>40</v>
      </c>
      <c r="I23" s="312">
        <v>14</v>
      </c>
      <c r="J23" s="29">
        <v>2000</v>
      </c>
      <c r="K23" s="12">
        <f t="shared" si="1"/>
        <v>142.85714285714286</v>
      </c>
      <c r="L23" s="312">
        <v>14</v>
      </c>
      <c r="M23" s="13">
        <f t="shared" si="20"/>
        <v>1923.7974683544294</v>
      </c>
      <c r="N23" s="12">
        <f t="shared" si="3"/>
        <v>137.41410488245924</v>
      </c>
      <c r="O23" s="14">
        <f t="shared" si="4"/>
        <v>0</v>
      </c>
      <c r="P23" s="15">
        <f t="shared" si="5"/>
        <v>-5.4430379746836195</v>
      </c>
      <c r="Q23" s="308">
        <f t="shared" si="6"/>
        <v>0.96189873417721461</v>
      </c>
      <c r="R23" s="616"/>
      <c r="S23" s="32">
        <v>0.26180555555555551</v>
      </c>
      <c r="T23" s="32">
        <v>0.31666666666666665</v>
      </c>
      <c r="U23" s="307">
        <f t="shared" ref="U23:U27" si="22">IF(S23=TIME(17,0,0),"",(S23-T22)*24*60)</f>
        <v>7.9999999999999716</v>
      </c>
      <c r="V23" s="313">
        <f t="shared" si="21"/>
        <v>79.000000000000043</v>
      </c>
      <c r="W23" s="16"/>
      <c r="X23" s="307"/>
      <c r="Y23" s="307"/>
      <c r="Z23" s="307"/>
      <c r="AA23" s="612"/>
      <c r="AB23" s="612"/>
      <c r="AC23" s="18"/>
      <c r="AD23" s="18"/>
      <c r="AE23" s="14">
        <f t="shared" si="8"/>
        <v>-76.202531645570616</v>
      </c>
      <c r="AF23" s="308">
        <f t="shared" si="9"/>
        <v>0.96189873417721472</v>
      </c>
      <c r="AG23" s="616"/>
    </row>
    <row r="24" spans="1:33" ht="15.75" customHeight="1">
      <c r="A24" s="635" t="s">
        <v>1547</v>
      </c>
      <c r="B24" s="27" t="s">
        <v>5</v>
      </c>
      <c r="C24" s="659" t="s">
        <v>60</v>
      </c>
      <c r="D24" s="659"/>
      <c r="E24" s="27">
        <v>53.27</v>
      </c>
      <c r="F24" s="314">
        <v>1854</v>
      </c>
      <c r="G24" s="307">
        <f t="shared" si="19"/>
        <v>98762.58</v>
      </c>
      <c r="H24" s="31" t="s">
        <v>40</v>
      </c>
      <c r="I24" s="312">
        <v>16</v>
      </c>
      <c r="J24" s="29">
        <v>2000</v>
      </c>
      <c r="K24" s="12">
        <f t="shared" si="1"/>
        <v>125</v>
      </c>
      <c r="L24" s="312">
        <v>16</v>
      </c>
      <c r="M24" s="13">
        <f t="shared" si="20"/>
        <v>1917.9310344827575</v>
      </c>
      <c r="N24" s="12">
        <f t="shared" si="3"/>
        <v>119.87068965517234</v>
      </c>
      <c r="O24" s="14">
        <f t="shared" si="4"/>
        <v>0</v>
      </c>
      <c r="P24" s="15">
        <f t="shared" si="5"/>
        <v>-5.1293103448276582</v>
      </c>
      <c r="Q24" s="308">
        <f t="shared" si="6"/>
        <v>0.95896551724137868</v>
      </c>
      <c r="R24" s="616"/>
      <c r="S24" s="32">
        <v>0.32152777777777775</v>
      </c>
      <c r="T24" s="32">
        <v>0.36180555555555555</v>
      </c>
      <c r="U24" s="307">
        <f t="shared" si="22"/>
        <v>6.9999999999999751</v>
      </c>
      <c r="V24" s="313">
        <f t="shared" si="21"/>
        <v>58.000000000000036</v>
      </c>
      <c r="W24" s="16"/>
      <c r="X24" s="307"/>
      <c r="Y24" s="307"/>
      <c r="Z24" s="307"/>
      <c r="AA24" s="612"/>
      <c r="AB24" s="612"/>
      <c r="AC24" s="18"/>
      <c r="AD24" s="18"/>
      <c r="AE24" s="14">
        <f t="shared" si="8"/>
        <v>-82.068965517242532</v>
      </c>
      <c r="AF24" s="308">
        <f t="shared" si="9"/>
        <v>0.95896551724137868</v>
      </c>
      <c r="AG24" s="616"/>
    </row>
    <row r="25" spans="1:33" ht="15.75" customHeight="1">
      <c r="A25" s="635" t="s">
        <v>1545</v>
      </c>
      <c r="B25" s="27" t="s">
        <v>5</v>
      </c>
      <c r="C25" s="659" t="s">
        <v>18</v>
      </c>
      <c r="D25" s="659"/>
      <c r="E25" s="27">
        <v>50.49</v>
      </c>
      <c r="F25" s="314">
        <v>1561</v>
      </c>
      <c r="G25" s="307">
        <f t="shared" si="19"/>
        <v>78814.89</v>
      </c>
      <c r="H25" s="31" t="s">
        <v>40</v>
      </c>
      <c r="I25" s="312">
        <v>15</v>
      </c>
      <c r="J25" s="29">
        <v>2000</v>
      </c>
      <c r="K25" s="12">
        <f t="shared" si="1"/>
        <v>133.33333333333334</v>
      </c>
      <c r="L25" s="312">
        <v>15</v>
      </c>
      <c r="M25" s="13">
        <f t="shared" si="20"/>
        <v>1911.4285714285718</v>
      </c>
      <c r="N25" s="12">
        <f t="shared" si="3"/>
        <v>127.42857142857146</v>
      </c>
      <c r="O25" s="14">
        <f t="shared" si="4"/>
        <v>0</v>
      </c>
      <c r="P25" s="15">
        <f t="shared" si="5"/>
        <v>-5.9047619047618838</v>
      </c>
      <c r="Q25" s="308">
        <f t="shared" si="6"/>
        <v>0.95571428571428585</v>
      </c>
      <c r="R25" s="616"/>
      <c r="S25" s="32">
        <v>0.70833333333333337</v>
      </c>
      <c r="T25" s="32">
        <v>0.74236111111111114</v>
      </c>
      <c r="U25" s="307" t="str">
        <f t="shared" si="22"/>
        <v/>
      </c>
      <c r="V25" s="313">
        <f t="shared" si="21"/>
        <v>48.999999999999986</v>
      </c>
      <c r="W25" s="16"/>
      <c r="X25" s="307"/>
      <c r="Y25" s="307"/>
      <c r="Z25" s="307"/>
      <c r="AA25" s="612"/>
      <c r="AB25" s="612"/>
      <c r="AC25" s="18"/>
      <c r="AD25" s="18"/>
      <c r="AE25" s="14">
        <f t="shared" si="8"/>
        <v>-88.571428571428214</v>
      </c>
      <c r="AF25" s="308">
        <f t="shared" si="9"/>
        <v>0.95571428571428585</v>
      </c>
      <c r="AG25" s="616"/>
    </row>
    <row r="26" spans="1:33" ht="15.75" customHeight="1">
      <c r="A26" s="635" t="s">
        <v>1545</v>
      </c>
      <c r="B26" s="27" t="s">
        <v>5</v>
      </c>
      <c r="C26" s="659" t="s">
        <v>65</v>
      </c>
      <c r="D26" s="659"/>
      <c r="E26" s="27">
        <v>56.43</v>
      </c>
      <c r="F26" s="314">
        <v>1244</v>
      </c>
      <c r="G26" s="307">
        <f t="shared" si="19"/>
        <v>70198.92</v>
      </c>
      <c r="H26" s="31" t="s">
        <v>40</v>
      </c>
      <c r="I26" s="312">
        <v>13</v>
      </c>
      <c r="J26" s="29">
        <v>2000</v>
      </c>
      <c r="K26" s="12">
        <f t="shared" si="1"/>
        <v>153.84615384615384</v>
      </c>
      <c r="L26" s="312">
        <v>13</v>
      </c>
      <c r="M26" s="13">
        <f t="shared" si="20"/>
        <v>1913.8461538461529</v>
      </c>
      <c r="N26" s="12">
        <f t="shared" si="3"/>
        <v>147.21893491124254</v>
      </c>
      <c r="O26" s="14">
        <f t="shared" si="4"/>
        <v>0</v>
      </c>
      <c r="P26" s="15">
        <f t="shared" si="5"/>
        <v>-6.6272189349112978</v>
      </c>
      <c r="Q26" s="308">
        <f t="shared" si="6"/>
        <v>0.95692307692307654</v>
      </c>
      <c r="R26" s="616"/>
      <c r="S26" s="32">
        <v>0.74583333333333335</v>
      </c>
      <c r="T26" s="32">
        <v>0.7729166666666667</v>
      </c>
      <c r="U26" s="307">
        <f t="shared" si="22"/>
        <v>4.9999999999999822</v>
      </c>
      <c r="V26" s="313">
        <f t="shared" si="21"/>
        <v>39.000000000000021</v>
      </c>
      <c r="W26" s="16"/>
      <c r="X26" s="16"/>
      <c r="Y26" s="307"/>
      <c r="Z26" s="307"/>
      <c r="AA26" s="612"/>
      <c r="AB26" s="612"/>
      <c r="AC26" s="18"/>
      <c r="AD26" s="18"/>
      <c r="AE26" s="14">
        <f t="shared" si="8"/>
        <v>-86.153846153847098</v>
      </c>
      <c r="AF26" s="308">
        <f t="shared" si="9"/>
        <v>0.95692307692307643</v>
      </c>
      <c r="AG26" s="616"/>
    </row>
    <row r="27" spans="1:33" ht="15.75" customHeight="1">
      <c r="A27" s="635" t="s">
        <v>1545</v>
      </c>
      <c r="B27" s="27" t="s">
        <v>5</v>
      </c>
      <c r="C27" s="659" t="s">
        <v>1322</v>
      </c>
      <c r="D27" s="659"/>
      <c r="E27" s="27">
        <v>54.09</v>
      </c>
      <c r="F27" s="314">
        <v>2829</v>
      </c>
      <c r="G27" s="307">
        <f t="shared" si="19"/>
        <v>153020.61000000002</v>
      </c>
      <c r="H27" s="31" t="s">
        <v>40</v>
      </c>
      <c r="I27" s="312">
        <v>18</v>
      </c>
      <c r="J27" s="29">
        <v>2000</v>
      </c>
      <c r="K27" s="12">
        <f t="shared" si="1"/>
        <v>111.11111111111111</v>
      </c>
      <c r="L27" s="312">
        <v>18</v>
      </c>
      <c r="M27" s="13">
        <f t="shared" si="20"/>
        <v>1907.1910112359551</v>
      </c>
      <c r="N27" s="12">
        <f t="shared" si="3"/>
        <v>105.95505617977528</v>
      </c>
      <c r="O27" s="14">
        <f t="shared" si="4"/>
        <v>0</v>
      </c>
      <c r="P27" s="15">
        <f t="shared" si="5"/>
        <v>-5.1560549313358308</v>
      </c>
      <c r="Q27" s="308">
        <f t="shared" si="6"/>
        <v>0.95359550561797757</v>
      </c>
      <c r="R27" s="616"/>
      <c r="S27" s="32">
        <v>0.77847222222222223</v>
      </c>
      <c r="T27" s="32">
        <v>0.84027777777777779</v>
      </c>
      <c r="U27" s="307">
        <f t="shared" si="22"/>
        <v>7.9999999999999716</v>
      </c>
      <c r="V27" s="313">
        <f t="shared" si="21"/>
        <v>89</v>
      </c>
      <c r="W27" s="16"/>
      <c r="X27" s="20"/>
      <c r="Y27" s="20"/>
      <c r="Z27" s="20"/>
      <c r="AA27" s="612"/>
      <c r="AB27" s="612"/>
      <c r="AC27" s="18"/>
      <c r="AD27" s="18"/>
      <c r="AE27" s="14">
        <f t="shared" si="8"/>
        <v>-92.808988764044898</v>
      </c>
      <c r="AF27" s="308">
        <f t="shared" si="9"/>
        <v>0.95359550561797757</v>
      </c>
      <c r="AG27" s="616"/>
    </row>
    <row r="28" spans="1:33" ht="15.75" customHeight="1">
      <c r="A28" s="635" t="s">
        <v>1546</v>
      </c>
      <c r="B28" s="27" t="s">
        <v>1548</v>
      </c>
      <c r="C28" s="658"/>
      <c r="D28" s="658"/>
      <c r="E28" s="309"/>
      <c r="F28" s="314"/>
      <c r="G28" s="307"/>
      <c r="H28" s="314"/>
      <c r="I28" s="21">
        <v>15.5</v>
      </c>
      <c r="J28" s="29">
        <v>2000</v>
      </c>
      <c r="K28" s="12">
        <f t="shared" si="1"/>
        <v>129.03225806451613</v>
      </c>
      <c r="L28" s="21">
        <v>15.5</v>
      </c>
      <c r="M28" s="13">
        <f>AVERAGE(M22:M27)</f>
        <v>1915.1193297463835</v>
      </c>
      <c r="N28" s="12">
        <f t="shared" si="3"/>
        <v>123.55608579008926</v>
      </c>
      <c r="O28" s="14">
        <f t="shared" si="4"/>
        <v>0</v>
      </c>
      <c r="P28" s="15">
        <f t="shared" si="5"/>
        <v>-5.4761722744268724</v>
      </c>
      <c r="Q28" s="308">
        <f t="shared" si="6"/>
        <v>0.95755966487319177</v>
      </c>
      <c r="R28" s="616"/>
      <c r="S28" s="32"/>
      <c r="T28" s="32"/>
      <c r="U28" s="12"/>
      <c r="V28" s="313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-84.880670253616472</v>
      </c>
      <c r="AF28" s="308">
        <f t="shared" si="9"/>
        <v>0.95755966487319177</v>
      </c>
      <c r="AG28" s="616"/>
    </row>
    <row r="29" spans="1:33" ht="15.75" customHeight="1">
      <c r="A29" s="633" t="s">
        <v>1549</v>
      </c>
      <c r="B29" s="27" t="s">
        <v>20</v>
      </c>
      <c r="C29" s="659" t="s">
        <v>21</v>
      </c>
      <c r="D29" s="659"/>
      <c r="E29" s="27">
        <v>31.29</v>
      </c>
      <c r="F29" s="314">
        <v>4700</v>
      </c>
      <c r="G29" s="307">
        <f t="shared" ref="G29:G35" si="23">E29*F29</f>
        <v>147063</v>
      </c>
      <c r="H29" s="31">
        <v>2</v>
      </c>
      <c r="I29" s="312">
        <v>18</v>
      </c>
      <c r="J29" s="29">
        <v>2400</v>
      </c>
      <c r="K29" s="12">
        <f t="shared" si="1"/>
        <v>133.33333333333334</v>
      </c>
      <c r="L29" s="312">
        <v>18</v>
      </c>
      <c r="M29" s="13">
        <f t="shared" ref="M29:M35" si="24">F29/V29*60</f>
        <v>2292.6829268292686</v>
      </c>
      <c r="N29" s="12">
        <f t="shared" si="3"/>
        <v>127.37127371273715</v>
      </c>
      <c r="O29" s="14">
        <f t="shared" si="4"/>
        <v>0</v>
      </c>
      <c r="P29" s="15">
        <f t="shared" si="5"/>
        <v>-5.9620596205961931</v>
      </c>
      <c r="Q29" s="308">
        <f t="shared" si="6"/>
        <v>0.9552845528455286</v>
      </c>
      <c r="R29" s="616">
        <f>Q36</f>
        <v>0.95530713352972729</v>
      </c>
      <c r="S29" s="32">
        <v>8.3333333333333329E-2</v>
      </c>
      <c r="T29" s="32">
        <v>0.16874999999999998</v>
      </c>
      <c r="U29" s="307"/>
      <c r="V29" s="313">
        <f t="shared" ref="V29:V35" si="25">(T29-S29)*24*60</f>
        <v>122.99999999999999</v>
      </c>
      <c r="W29" s="16">
        <f>T29</f>
        <v>0.16874999999999998</v>
      </c>
      <c r="X29" s="16">
        <f>S30</f>
        <v>0.18819444444444444</v>
      </c>
      <c r="Y29" s="16"/>
      <c r="Z29" s="16"/>
      <c r="AA29" s="612"/>
      <c r="AB29" s="612"/>
      <c r="AC29" s="18">
        <v>7</v>
      </c>
      <c r="AD29" s="18"/>
      <c r="AE29" s="14">
        <f t="shared" si="8"/>
        <v>-107.31707317073142</v>
      </c>
      <c r="AF29" s="308">
        <f t="shared" si="9"/>
        <v>0.9552845528455286</v>
      </c>
      <c r="AG29" s="616">
        <f>AF36</f>
        <v>0.95530713352972729</v>
      </c>
    </row>
    <row r="30" spans="1:33" ht="15.75" customHeight="1">
      <c r="A30" s="633" t="s">
        <v>1550</v>
      </c>
      <c r="B30" s="27" t="s">
        <v>20</v>
      </c>
      <c r="C30" s="659" t="s">
        <v>22</v>
      </c>
      <c r="D30" s="659"/>
      <c r="E30" s="27">
        <v>26.37</v>
      </c>
      <c r="F30" s="314">
        <v>6027</v>
      </c>
      <c r="G30" s="307">
        <f t="shared" si="23"/>
        <v>158931.99000000002</v>
      </c>
      <c r="H30" s="31" t="s">
        <v>40</v>
      </c>
      <c r="I30" s="312">
        <v>18</v>
      </c>
      <c r="J30" s="29">
        <v>2400</v>
      </c>
      <c r="K30" s="12">
        <f t="shared" si="1"/>
        <v>133.33333333333334</v>
      </c>
      <c r="L30" s="312">
        <v>18</v>
      </c>
      <c r="M30" s="13">
        <f t="shared" si="24"/>
        <v>2288.7341772151899</v>
      </c>
      <c r="N30" s="12">
        <f t="shared" si="3"/>
        <v>127.15189873417722</v>
      </c>
      <c r="O30" s="14">
        <f t="shared" si="4"/>
        <v>0</v>
      </c>
      <c r="P30" s="15">
        <f t="shared" si="5"/>
        <v>-6.1814345991561197</v>
      </c>
      <c r="Q30" s="308">
        <f t="shared" si="6"/>
        <v>0.95363924050632909</v>
      </c>
      <c r="R30" s="616"/>
      <c r="S30" s="32">
        <v>0.18819444444444444</v>
      </c>
      <c r="T30" s="32">
        <v>0.29791666666666666</v>
      </c>
      <c r="U30" s="307">
        <f t="shared" ref="U30:U35" si="26">(S30-T29)*24*60</f>
        <v>28.000000000000021</v>
      </c>
      <c r="V30" s="313">
        <f t="shared" si="25"/>
        <v>158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-111.2658227848101</v>
      </c>
      <c r="AF30" s="308">
        <f t="shared" si="9"/>
        <v>0.95363924050632909</v>
      </c>
      <c r="AG30" s="616"/>
    </row>
    <row r="31" spans="1:33" ht="15.75" customHeight="1">
      <c r="A31" s="633" t="s">
        <v>1549</v>
      </c>
      <c r="B31" s="27" t="s">
        <v>20</v>
      </c>
      <c r="C31" s="659" t="s">
        <v>57</v>
      </c>
      <c r="D31" s="659"/>
      <c r="E31" s="27">
        <v>26.18</v>
      </c>
      <c r="F31" s="314">
        <v>4300</v>
      </c>
      <c r="G31" s="307">
        <f t="shared" si="23"/>
        <v>112574</v>
      </c>
      <c r="H31" s="31">
        <v>2</v>
      </c>
      <c r="I31" s="312">
        <v>18</v>
      </c>
      <c r="J31" s="29">
        <v>2400</v>
      </c>
      <c r="K31" s="12">
        <f t="shared" si="1"/>
        <v>133.33333333333334</v>
      </c>
      <c r="L31" s="312">
        <v>18</v>
      </c>
      <c r="M31" s="13">
        <f t="shared" si="24"/>
        <v>2283.1858407079644</v>
      </c>
      <c r="N31" s="12">
        <f t="shared" si="3"/>
        <v>126.84365781710913</v>
      </c>
      <c r="O31" s="14">
        <f t="shared" si="4"/>
        <v>0</v>
      </c>
      <c r="P31" s="15">
        <f t="shared" si="5"/>
        <v>-6.4896755162242101</v>
      </c>
      <c r="Q31" s="308">
        <f t="shared" si="6"/>
        <v>0.9513274336283184</v>
      </c>
      <c r="R31" s="616"/>
      <c r="S31" s="32">
        <v>0.30208333333333331</v>
      </c>
      <c r="T31" s="32">
        <v>0.38055555555555554</v>
      </c>
      <c r="U31" s="307">
        <f t="shared" si="26"/>
        <v>5.9999999999999787</v>
      </c>
      <c r="V31" s="313">
        <f t="shared" si="25"/>
        <v>113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-116.81415929203558</v>
      </c>
      <c r="AF31" s="308">
        <f t="shared" si="9"/>
        <v>0.95132743362831851</v>
      </c>
      <c r="AG31" s="616"/>
    </row>
    <row r="32" spans="1:33" ht="15.75" customHeight="1">
      <c r="A32" s="633" t="s">
        <v>1550</v>
      </c>
      <c r="B32" s="27" t="s">
        <v>20</v>
      </c>
      <c r="C32" s="659" t="s">
        <v>59</v>
      </c>
      <c r="D32" s="659"/>
      <c r="E32" s="27">
        <v>25.99</v>
      </c>
      <c r="F32" s="314">
        <v>1347</v>
      </c>
      <c r="G32" s="307">
        <f t="shared" si="23"/>
        <v>35008.53</v>
      </c>
      <c r="H32" s="31" t="s">
        <v>40</v>
      </c>
      <c r="I32" s="312">
        <v>18</v>
      </c>
      <c r="J32" s="29">
        <v>2400</v>
      </c>
      <c r="K32" s="12">
        <f t="shared" si="1"/>
        <v>133.33333333333334</v>
      </c>
      <c r="L32" s="312">
        <v>18</v>
      </c>
      <c r="M32" s="13">
        <f t="shared" si="24"/>
        <v>2309.1428571428546</v>
      </c>
      <c r="N32" s="12">
        <f t="shared" si="3"/>
        <v>128.28571428571414</v>
      </c>
      <c r="O32" s="14">
        <f t="shared" si="4"/>
        <v>0</v>
      </c>
      <c r="P32" s="15">
        <f t="shared" si="5"/>
        <v>-5.0476190476192073</v>
      </c>
      <c r="Q32" s="308">
        <f t="shared" si="6"/>
        <v>0.96214285714285597</v>
      </c>
      <c r="R32" s="616"/>
      <c r="S32" s="32">
        <v>0.38472222222222219</v>
      </c>
      <c r="T32" s="32">
        <v>0.40902777777777777</v>
      </c>
      <c r="U32" s="307">
        <f t="shared" si="26"/>
        <v>5.9999999999999787</v>
      </c>
      <c r="V32" s="313">
        <f t="shared" si="25"/>
        <v>35.000000000000036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-90.857142857145391</v>
      </c>
      <c r="AF32" s="308">
        <f t="shared" si="9"/>
        <v>0.96214285714285608</v>
      </c>
      <c r="AG32" s="616"/>
    </row>
    <row r="33" spans="1:33" ht="15.75" customHeight="1">
      <c r="A33" s="633" t="s">
        <v>1550</v>
      </c>
      <c r="B33" s="27" t="s">
        <v>20</v>
      </c>
      <c r="C33" s="659" t="s">
        <v>23</v>
      </c>
      <c r="D33" s="659"/>
      <c r="E33" s="27">
        <v>25.99</v>
      </c>
      <c r="F33" s="314">
        <v>3854</v>
      </c>
      <c r="G33" s="307">
        <f t="shared" si="23"/>
        <v>100165.45999999999</v>
      </c>
      <c r="H33" s="31" t="s">
        <v>40</v>
      </c>
      <c r="I33" s="312">
        <v>14</v>
      </c>
      <c r="J33" s="29">
        <v>2400</v>
      </c>
      <c r="K33" s="12">
        <f t="shared" si="1"/>
        <v>171.42857142857142</v>
      </c>
      <c r="L33" s="312">
        <v>14</v>
      </c>
      <c r="M33" s="13">
        <f t="shared" si="24"/>
        <v>2289.5049504950503</v>
      </c>
      <c r="N33" s="12">
        <f t="shared" si="3"/>
        <v>163.53606789250358</v>
      </c>
      <c r="O33" s="14">
        <f t="shared" si="4"/>
        <v>0</v>
      </c>
      <c r="P33" s="15">
        <f t="shared" si="5"/>
        <v>-7.8925035360678351</v>
      </c>
      <c r="Q33" s="308">
        <f t="shared" si="6"/>
        <v>0.95396039603960425</v>
      </c>
      <c r="R33" s="616"/>
      <c r="S33" s="32">
        <v>0.4145833333333333</v>
      </c>
      <c r="T33" s="32">
        <v>0.48472222222222217</v>
      </c>
      <c r="U33" s="307">
        <f t="shared" si="26"/>
        <v>7.9999999999999716</v>
      </c>
      <c r="V33" s="313">
        <f t="shared" si="25"/>
        <v>100.99999999999996</v>
      </c>
      <c r="W33" s="16">
        <f>T33</f>
        <v>0.48472222222222217</v>
      </c>
      <c r="X33" s="16">
        <f>S34</f>
        <v>0.5263888888888888</v>
      </c>
      <c r="Y33" s="16"/>
      <c r="Z33" s="16"/>
      <c r="AA33" s="612"/>
      <c r="AB33" s="612"/>
      <c r="AC33" s="18"/>
      <c r="AD33" s="18"/>
      <c r="AE33" s="14">
        <f t="shared" si="8"/>
        <v>-110.49504950494975</v>
      </c>
      <c r="AF33" s="308">
        <f t="shared" si="9"/>
        <v>0.95396039603960425</v>
      </c>
      <c r="AG33" s="616"/>
    </row>
    <row r="34" spans="1:33" ht="15.75" customHeight="1">
      <c r="A34" s="633" t="s">
        <v>1549</v>
      </c>
      <c r="B34" s="27" t="s">
        <v>20</v>
      </c>
      <c r="C34" s="659" t="s">
        <v>21</v>
      </c>
      <c r="D34" s="659"/>
      <c r="E34" s="27">
        <v>31.29</v>
      </c>
      <c r="F34" s="314">
        <v>3371</v>
      </c>
      <c r="G34" s="307">
        <f t="shared" si="23"/>
        <v>105478.59</v>
      </c>
      <c r="H34" s="31" t="s">
        <v>40</v>
      </c>
      <c r="I34" s="312">
        <v>18</v>
      </c>
      <c r="J34" s="29">
        <v>2400</v>
      </c>
      <c r="K34" s="12">
        <f t="shared" si="1"/>
        <v>133.33333333333334</v>
      </c>
      <c r="L34" s="312">
        <v>18</v>
      </c>
      <c r="M34" s="13">
        <f t="shared" si="24"/>
        <v>2298.409090909091</v>
      </c>
      <c r="N34" s="12">
        <f t="shared" si="3"/>
        <v>127.68939393939394</v>
      </c>
      <c r="O34" s="14">
        <f t="shared" si="4"/>
        <v>0</v>
      </c>
      <c r="P34" s="15">
        <f t="shared" si="5"/>
        <v>-5.6439393939394051</v>
      </c>
      <c r="Q34" s="308">
        <f t="shared" si="6"/>
        <v>0.95767045454545452</v>
      </c>
      <c r="R34" s="616"/>
      <c r="S34" s="32">
        <v>0.5263888888888888</v>
      </c>
      <c r="T34" s="32">
        <v>0.58749999999999991</v>
      </c>
      <c r="U34" s="307">
        <f t="shared" si="26"/>
        <v>59.999999999999943</v>
      </c>
      <c r="V34" s="313">
        <f t="shared" si="25"/>
        <v>88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-101.59090909090901</v>
      </c>
      <c r="AF34" s="308">
        <f t="shared" si="9"/>
        <v>0.95767045454545463</v>
      </c>
      <c r="AG34" s="616"/>
    </row>
    <row r="35" spans="1:33" ht="15.75" customHeight="1">
      <c r="A35" s="633" t="s">
        <v>1550</v>
      </c>
      <c r="B35" s="27" t="s">
        <v>20</v>
      </c>
      <c r="C35" s="659" t="s">
        <v>57</v>
      </c>
      <c r="D35" s="659"/>
      <c r="E35" s="27">
        <v>26.18</v>
      </c>
      <c r="F35" s="314">
        <v>3050</v>
      </c>
      <c r="G35" s="307">
        <f t="shared" si="23"/>
        <v>79849</v>
      </c>
      <c r="H35" s="31" t="s">
        <v>40</v>
      </c>
      <c r="I35" s="312">
        <v>18</v>
      </c>
      <c r="J35" s="29">
        <v>2400</v>
      </c>
      <c r="K35" s="12">
        <f t="shared" si="1"/>
        <v>133.33333333333334</v>
      </c>
      <c r="L35" s="312">
        <v>18</v>
      </c>
      <c r="M35" s="13">
        <f t="shared" si="24"/>
        <v>2287.4999999999991</v>
      </c>
      <c r="N35" s="12">
        <f t="shared" si="3"/>
        <v>127.08333333333329</v>
      </c>
      <c r="O35" s="14">
        <f t="shared" si="4"/>
        <v>0</v>
      </c>
      <c r="P35" s="15">
        <f t="shared" si="5"/>
        <v>-6.2500000000000568</v>
      </c>
      <c r="Q35" s="308">
        <f t="shared" si="6"/>
        <v>0.95312499999999956</v>
      </c>
      <c r="R35" s="616"/>
      <c r="S35" s="32">
        <v>0.59236111111111101</v>
      </c>
      <c r="T35" s="32">
        <v>0.64791666666666659</v>
      </c>
      <c r="U35" s="307">
        <f t="shared" si="26"/>
        <v>6.9999999999999751</v>
      </c>
      <c r="V35" s="313">
        <f t="shared" si="25"/>
        <v>80.000000000000028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-112.50000000000091</v>
      </c>
      <c r="AF35" s="308">
        <f t="shared" si="9"/>
        <v>0.95312499999999967</v>
      </c>
      <c r="AG35" s="616"/>
    </row>
    <row r="36" spans="1:33" ht="15.75" customHeight="1">
      <c r="A36" s="633" t="s">
        <v>1549</v>
      </c>
      <c r="B36" s="27" t="s">
        <v>1551</v>
      </c>
      <c r="C36" s="658"/>
      <c r="D36" s="658"/>
      <c r="E36" s="309"/>
      <c r="F36" s="314"/>
      <c r="G36" s="307"/>
      <c r="H36" s="314"/>
      <c r="I36" s="21">
        <v>17.428571428571427</v>
      </c>
      <c r="J36" s="29">
        <v>2400</v>
      </c>
      <c r="K36" s="12">
        <f t="shared" si="1"/>
        <v>137.70491803278691</v>
      </c>
      <c r="L36" s="21">
        <v>17.428571428571427</v>
      </c>
      <c r="M36" s="13">
        <f>AVERAGE(M29:M35)</f>
        <v>2292.7371204713454</v>
      </c>
      <c r="N36" s="12">
        <f t="shared" si="3"/>
        <v>131.55049051884771</v>
      </c>
      <c r="O36" s="14">
        <f t="shared" si="4"/>
        <v>0</v>
      </c>
      <c r="P36" s="15">
        <f t="shared" si="5"/>
        <v>-6.1544275139391971</v>
      </c>
      <c r="Q36" s="308">
        <f t="shared" si="6"/>
        <v>0.95530713352972729</v>
      </c>
      <c r="R36" s="616"/>
      <c r="S36" s="32"/>
      <c r="T36" s="32"/>
      <c r="U36" s="307"/>
      <c r="V36" s="313"/>
      <c r="W36" s="307"/>
      <c r="X36" s="307"/>
      <c r="Y36" s="22">
        <f>SUM(Y29:Y35)</f>
        <v>0</v>
      </c>
      <c r="Z36" s="22">
        <f>SUM(Z29:Z35)</f>
        <v>0</v>
      </c>
      <c r="AA36" s="611"/>
      <c r="AB36" s="611"/>
      <c r="AC36" s="22">
        <v>7</v>
      </c>
      <c r="AD36" s="22">
        <f>SUM(AD29:AD35)</f>
        <v>0</v>
      </c>
      <c r="AE36" s="14">
        <f t="shared" si="8"/>
        <v>-107.26287952865459</v>
      </c>
      <c r="AF36" s="308">
        <f t="shared" si="9"/>
        <v>0.95530713352972729</v>
      </c>
      <c r="AG36" s="616"/>
    </row>
    <row r="37" spans="1:33" ht="15.75" customHeight="1">
      <c r="A37" s="629" t="s">
        <v>1552</v>
      </c>
      <c r="B37" s="27" t="s">
        <v>20</v>
      </c>
      <c r="C37" s="660" t="s">
        <v>58</v>
      </c>
      <c r="D37" s="660"/>
      <c r="E37" s="27">
        <v>26.18</v>
      </c>
      <c r="F37" s="314">
        <v>5796</v>
      </c>
      <c r="G37" s="307">
        <f t="shared" ref="G37:G43" si="27">E37*F37</f>
        <v>151739.28</v>
      </c>
      <c r="H37" s="31" t="s">
        <v>40</v>
      </c>
      <c r="I37" s="312">
        <v>20</v>
      </c>
      <c r="J37" s="29">
        <v>2400</v>
      </c>
      <c r="K37" s="12">
        <f t="shared" si="1"/>
        <v>120</v>
      </c>
      <c r="L37" s="312">
        <v>20</v>
      </c>
      <c r="M37" s="13">
        <f t="shared" ref="M37:M43" si="28">F37/V37*60</f>
        <v>2287.894736842105</v>
      </c>
      <c r="N37" s="12">
        <f t="shared" si="3"/>
        <v>114.39473684210525</v>
      </c>
      <c r="O37" s="14">
        <f t="shared" si="4"/>
        <v>0</v>
      </c>
      <c r="P37" s="15">
        <f t="shared" si="5"/>
        <v>-5.605263157894754</v>
      </c>
      <c r="Q37" s="308">
        <f t="shared" si="6"/>
        <v>0.95328947368421035</v>
      </c>
      <c r="R37" s="616">
        <f>Q44</f>
        <v>0.95588408317018658</v>
      </c>
      <c r="S37" s="32">
        <v>8.3333333333333329E-2</v>
      </c>
      <c r="T37" s="32">
        <v>0.18888888888888888</v>
      </c>
      <c r="U37" s="307"/>
      <c r="V37" s="313">
        <f t="shared" ref="V37:V43" si="29">(T37-S37)*24*60</f>
        <v>152</v>
      </c>
      <c r="W37" s="20">
        <f>T37</f>
        <v>0.18888888888888888</v>
      </c>
      <c r="X37" s="20">
        <f>S38</f>
        <v>0.20902777777777778</v>
      </c>
      <c r="Y37" s="20"/>
      <c r="Z37" s="20"/>
      <c r="AA37" s="612"/>
      <c r="AB37" s="612"/>
      <c r="AC37" s="18">
        <v>7</v>
      </c>
      <c r="AD37" s="18"/>
      <c r="AE37" s="14">
        <f t="shared" si="8"/>
        <v>-112.10526315789502</v>
      </c>
      <c r="AF37" s="308">
        <f t="shared" si="9"/>
        <v>0.95328947368421035</v>
      </c>
      <c r="AG37" s="616">
        <f>AF44</f>
        <v>0.95588408317018647</v>
      </c>
    </row>
    <row r="38" spans="1:33" ht="15.75" customHeight="1">
      <c r="A38" s="629" t="s">
        <v>1552</v>
      </c>
      <c r="B38" s="27" t="s">
        <v>20</v>
      </c>
      <c r="C38" s="660" t="s">
        <v>25</v>
      </c>
      <c r="D38" s="660"/>
      <c r="E38" s="27">
        <v>24.43</v>
      </c>
      <c r="F38" s="314">
        <v>3600</v>
      </c>
      <c r="G38" s="307">
        <f t="shared" si="27"/>
        <v>87948</v>
      </c>
      <c r="H38" s="31">
        <v>2</v>
      </c>
      <c r="I38" s="312">
        <v>14</v>
      </c>
      <c r="J38" s="29">
        <v>2400</v>
      </c>
      <c r="K38" s="12">
        <f t="shared" si="1"/>
        <v>171.42857142857142</v>
      </c>
      <c r="L38" s="312">
        <v>14</v>
      </c>
      <c r="M38" s="13">
        <f t="shared" si="28"/>
        <v>2297.8723404255311</v>
      </c>
      <c r="N38" s="12">
        <f t="shared" si="3"/>
        <v>164.13373860182364</v>
      </c>
      <c r="O38" s="14">
        <f t="shared" si="4"/>
        <v>0</v>
      </c>
      <c r="P38" s="15">
        <f t="shared" si="5"/>
        <v>-7.2948328267477791</v>
      </c>
      <c r="Q38" s="308">
        <f t="shared" si="6"/>
        <v>0.9574468085106379</v>
      </c>
      <c r="R38" s="616"/>
      <c r="S38" s="32">
        <v>0.20902777777777778</v>
      </c>
      <c r="T38" s="32">
        <v>0.27430555555555558</v>
      </c>
      <c r="U38" s="307">
        <f t="shared" ref="U38:U43" si="30">(S38-T37)*24*60</f>
        <v>29.000000000000018</v>
      </c>
      <c r="V38" s="313">
        <f t="shared" si="29"/>
        <v>94.000000000000028</v>
      </c>
      <c r="W38" s="307"/>
      <c r="X38" s="307"/>
      <c r="Y38" s="307"/>
      <c r="Z38" s="307"/>
      <c r="AA38" s="612"/>
      <c r="AB38" s="612"/>
      <c r="AC38" s="18"/>
      <c r="AD38" s="18"/>
      <c r="AE38" s="14">
        <f t="shared" si="8"/>
        <v>-102.12765957446891</v>
      </c>
      <c r="AF38" s="308">
        <f t="shared" si="9"/>
        <v>0.9574468085106379</v>
      </c>
      <c r="AG38" s="616"/>
    </row>
    <row r="39" spans="1:33">
      <c r="A39" s="630" t="s">
        <v>1552</v>
      </c>
      <c r="B39" s="27" t="s">
        <v>20</v>
      </c>
      <c r="C39" s="660" t="s">
        <v>83</v>
      </c>
      <c r="D39" s="660"/>
      <c r="E39" s="27">
        <v>25.98</v>
      </c>
      <c r="F39" s="314">
        <v>3979</v>
      </c>
      <c r="G39" s="307">
        <f t="shared" si="27"/>
        <v>103374.42</v>
      </c>
      <c r="H39" s="31" t="s">
        <v>40</v>
      </c>
      <c r="I39" s="312">
        <v>20</v>
      </c>
      <c r="J39" s="29">
        <v>2400</v>
      </c>
      <c r="K39" s="12">
        <f t="shared" si="1"/>
        <v>120</v>
      </c>
      <c r="L39" s="312">
        <v>20</v>
      </c>
      <c r="M39" s="13">
        <f t="shared" si="28"/>
        <v>2295.5769230769224</v>
      </c>
      <c r="N39" s="12">
        <f t="shared" si="3"/>
        <v>114.77884615384612</v>
      </c>
      <c r="O39" s="14">
        <f t="shared" si="4"/>
        <v>0</v>
      </c>
      <c r="P39" s="15">
        <f t="shared" si="5"/>
        <v>-5.2211538461538822</v>
      </c>
      <c r="Q39" s="308">
        <f t="shared" si="6"/>
        <v>0.95649038461538427</v>
      </c>
      <c r="R39" s="616"/>
      <c r="S39" s="32">
        <v>0.27986111111111112</v>
      </c>
      <c r="T39" s="32">
        <v>0.35208333333333336</v>
      </c>
      <c r="U39" s="307">
        <f t="shared" si="30"/>
        <v>7.9999999999999716</v>
      </c>
      <c r="V39" s="313">
        <f t="shared" si="29"/>
        <v>104.00000000000003</v>
      </c>
      <c r="W39" s="307"/>
      <c r="X39" s="307"/>
      <c r="Y39" s="307"/>
      <c r="Z39" s="307"/>
      <c r="AA39" s="612"/>
      <c r="AB39" s="612"/>
      <c r="AC39" s="18"/>
      <c r="AD39" s="18"/>
      <c r="AE39" s="14">
        <f t="shared" si="8"/>
        <v>-104.42307692307759</v>
      </c>
      <c r="AF39" s="308">
        <f t="shared" si="9"/>
        <v>0.95649038461538438</v>
      </c>
      <c r="AG39" s="616"/>
    </row>
    <row r="40" spans="1:33">
      <c r="A40" s="630" t="s">
        <v>1552</v>
      </c>
      <c r="B40" s="27" t="s">
        <v>20</v>
      </c>
      <c r="C40" s="660" t="s">
        <v>26</v>
      </c>
      <c r="D40" s="660"/>
      <c r="E40" s="27">
        <v>34.1</v>
      </c>
      <c r="F40" s="314">
        <v>3400</v>
      </c>
      <c r="G40" s="307">
        <f t="shared" si="27"/>
        <v>115940</v>
      </c>
      <c r="H40" s="31">
        <v>2</v>
      </c>
      <c r="I40" s="312">
        <v>17</v>
      </c>
      <c r="J40" s="29">
        <v>1600</v>
      </c>
      <c r="K40" s="12">
        <f t="shared" si="1"/>
        <v>94.117647058823536</v>
      </c>
      <c r="L40" s="312">
        <v>17</v>
      </c>
      <c r="M40" s="13">
        <f t="shared" si="28"/>
        <v>1522.3880597014925</v>
      </c>
      <c r="N40" s="12">
        <f t="shared" si="3"/>
        <v>89.552238805970148</v>
      </c>
      <c r="O40" s="14">
        <f t="shared" si="4"/>
        <v>0</v>
      </c>
      <c r="P40" s="15">
        <f t="shared" si="5"/>
        <v>-4.5654082528533877</v>
      </c>
      <c r="Q40" s="308">
        <f t="shared" si="6"/>
        <v>0.95149253731343275</v>
      </c>
      <c r="R40" s="616"/>
      <c r="S40" s="32">
        <v>0.35555555555555557</v>
      </c>
      <c r="T40" s="32">
        <v>0.44861111111111113</v>
      </c>
      <c r="U40" s="307">
        <f t="shared" si="30"/>
        <v>4.9999999999999822</v>
      </c>
      <c r="V40" s="313">
        <f t="shared" si="29"/>
        <v>134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-77.611940298507534</v>
      </c>
      <c r="AF40" s="308">
        <f t="shared" si="9"/>
        <v>0.95149253731343275</v>
      </c>
      <c r="AG40" s="616"/>
    </row>
    <row r="41" spans="1:33">
      <c r="A41" s="630" t="s">
        <v>1552</v>
      </c>
      <c r="B41" s="27" t="s">
        <v>20</v>
      </c>
      <c r="C41" s="660" t="s">
        <v>64</v>
      </c>
      <c r="D41" s="660"/>
      <c r="E41" s="27">
        <v>20.21</v>
      </c>
      <c r="F41" s="314">
        <v>2629</v>
      </c>
      <c r="G41" s="307">
        <f t="shared" si="27"/>
        <v>53132.090000000004</v>
      </c>
      <c r="H41" s="31" t="s">
        <v>40</v>
      </c>
      <c r="I41" s="312">
        <v>18</v>
      </c>
      <c r="J41" s="29">
        <v>2400</v>
      </c>
      <c r="K41" s="12">
        <f t="shared" si="1"/>
        <v>133.33333333333334</v>
      </c>
      <c r="L41" s="312">
        <v>18</v>
      </c>
      <c r="M41" s="13">
        <f t="shared" si="28"/>
        <v>2286.086956521739</v>
      </c>
      <c r="N41" s="12">
        <f t="shared" si="3"/>
        <v>127.00483091787439</v>
      </c>
      <c r="O41" s="14">
        <f t="shared" si="4"/>
        <v>0</v>
      </c>
      <c r="P41" s="15">
        <f t="shared" si="5"/>
        <v>-6.3285024154589564</v>
      </c>
      <c r="Q41" s="308">
        <f t="shared" si="6"/>
        <v>0.95253623188405778</v>
      </c>
      <c r="R41" s="616"/>
      <c r="S41" s="32">
        <v>0.45208333333333334</v>
      </c>
      <c r="T41" s="32">
        <v>0.5</v>
      </c>
      <c r="U41" s="307">
        <f t="shared" si="30"/>
        <v>4.9999999999999822</v>
      </c>
      <c r="V41" s="313">
        <f t="shared" si="29"/>
        <v>69</v>
      </c>
      <c r="W41" s="16">
        <f>T41</f>
        <v>0.5</v>
      </c>
      <c r="X41" s="16">
        <f>S42</f>
        <v>0.53819444444444442</v>
      </c>
      <c r="Y41" s="16"/>
      <c r="Z41" s="16"/>
      <c r="AA41" s="612"/>
      <c r="AB41" s="612"/>
      <c r="AC41" s="18"/>
      <c r="AD41" s="18"/>
      <c r="AE41" s="14">
        <f t="shared" si="8"/>
        <v>-113.91304347826099</v>
      </c>
      <c r="AF41" s="308">
        <f t="shared" si="9"/>
        <v>0.95253623188405789</v>
      </c>
      <c r="AG41" s="616"/>
    </row>
    <row r="42" spans="1:33">
      <c r="A42" s="630" t="s">
        <v>1552</v>
      </c>
      <c r="B42" s="27" t="s">
        <v>20</v>
      </c>
      <c r="C42" s="660" t="s">
        <v>26</v>
      </c>
      <c r="D42" s="660"/>
      <c r="E42" s="27">
        <v>34.1</v>
      </c>
      <c r="F42" s="314">
        <v>2671</v>
      </c>
      <c r="G42" s="307">
        <f t="shared" si="27"/>
        <v>91081.1</v>
      </c>
      <c r="H42" s="31" t="s">
        <v>40</v>
      </c>
      <c r="I42" s="312">
        <v>17</v>
      </c>
      <c r="J42" s="29">
        <v>1600</v>
      </c>
      <c r="K42" s="12">
        <f t="shared" si="1"/>
        <v>94.117647058823536</v>
      </c>
      <c r="L42" s="312">
        <v>17</v>
      </c>
      <c r="M42" s="13">
        <f t="shared" si="28"/>
        <v>1526.2857142857151</v>
      </c>
      <c r="N42" s="12">
        <f t="shared" si="3"/>
        <v>89.781512605042067</v>
      </c>
      <c r="O42" s="14">
        <f t="shared" si="4"/>
        <v>0</v>
      </c>
      <c r="P42" s="15">
        <f t="shared" si="5"/>
        <v>-4.3361344537814688</v>
      </c>
      <c r="Q42" s="308">
        <f t="shared" si="6"/>
        <v>0.9539285714285719</v>
      </c>
      <c r="R42" s="616"/>
      <c r="S42" s="32">
        <v>0.53819444444444442</v>
      </c>
      <c r="T42" s="32">
        <v>0.61111111111111105</v>
      </c>
      <c r="U42" s="307">
        <f t="shared" si="30"/>
        <v>54.999999999999964</v>
      </c>
      <c r="V42" s="313">
        <f t="shared" si="29"/>
        <v>104.99999999999994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-73.71428571428487</v>
      </c>
      <c r="AF42" s="308">
        <f t="shared" si="9"/>
        <v>0.9539285714285719</v>
      </c>
      <c r="AG42" s="616"/>
    </row>
    <row r="43" spans="1:33">
      <c r="A43" s="630" t="s">
        <v>1552</v>
      </c>
      <c r="B43" s="27" t="s">
        <v>20</v>
      </c>
      <c r="C43" s="660" t="s">
        <v>25</v>
      </c>
      <c r="D43" s="660"/>
      <c r="E43" s="27">
        <v>24.43</v>
      </c>
      <c r="F43" s="314">
        <v>2776</v>
      </c>
      <c r="G43" s="307">
        <f t="shared" si="27"/>
        <v>67817.679999999993</v>
      </c>
      <c r="H43" s="31" t="s">
        <v>40</v>
      </c>
      <c r="I43" s="312">
        <v>14</v>
      </c>
      <c r="J43" s="29">
        <v>2400</v>
      </c>
      <c r="K43" s="12">
        <f t="shared" si="1"/>
        <v>171.42857142857142</v>
      </c>
      <c r="L43" s="312">
        <v>14</v>
      </c>
      <c r="M43" s="13">
        <f t="shared" si="28"/>
        <v>2313.3333333333312</v>
      </c>
      <c r="N43" s="12">
        <f t="shared" si="3"/>
        <v>165.2380952380951</v>
      </c>
      <c r="O43" s="14">
        <f t="shared" si="4"/>
        <v>0</v>
      </c>
      <c r="P43" s="15">
        <f t="shared" si="5"/>
        <v>-6.1904761904763177</v>
      </c>
      <c r="Q43" s="308">
        <f t="shared" si="6"/>
        <v>0.96388888888888813</v>
      </c>
      <c r="R43" s="616"/>
      <c r="S43" s="32">
        <v>0.6152777777777777</v>
      </c>
      <c r="T43" s="32">
        <v>0.66527777777777775</v>
      </c>
      <c r="U43" s="307">
        <f t="shared" si="30"/>
        <v>5.9999999999999787</v>
      </c>
      <c r="V43" s="313">
        <f t="shared" si="29"/>
        <v>72.000000000000057</v>
      </c>
      <c r="W43" s="16"/>
      <c r="X43" s="16"/>
      <c r="Y43" s="19"/>
      <c r="Z43" s="19"/>
      <c r="AA43" s="607"/>
      <c r="AB43" s="608"/>
      <c r="AC43" s="18"/>
      <c r="AD43" s="18"/>
      <c r="AE43" s="14">
        <f t="shared" si="8"/>
        <v>-86.666666666668789</v>
      </c>
      <c r="AF43" s="308">
        <f t="shared" si="9"/>
        <v>0.96388888888888802</v>
      </c>
      <c r="AG43" s="616"/>
    </row>
    <row r="44" spans="1:33">
      <c r="A44" s="630" t="s">
        <v>1552</v>
      </c>
      <c r="B44" s="28" t="s">
        <v>174</v>
      </c>
      <c r="C44" s="658"/>
      <c r="D44" s="658"/>
      <c r="E44" s="309"/>
      <c r="F44" s="28"/>
      <c r="G44" s="12"/>
      <c r="H44" s="314"/>
      <c r="I44" s="21">
        <v>17.142857142857142</v>
      </c>
      <c r="J44" s="29">
        <v>2171.4285714285716</v>
      </c>
      <c r="K44" s="12">
        <f t="shared" si="1"/>
        <v>126.66666666666667</v>
      </c>
      <c r="L44" s="21">
        <v>17.142857142857142</v>
      </c>
      <c r="M44" s="13">
        <f>AVERAGE(M37:M43)</f>
        <v>2075.6340091695479</v>
      </c>
      <c r="N44" s="12">
        <f t="shared" si="3"/>
        <v>121.0786505348903</v>
      </c>
      <c r="O44" s="14">
        <f t="shared" si="4"/>
        <v>0</v>
      </c>
      <c r="P44" s="15">
        <f t="shared" si="5"/>
        <v>-5.5880161317763708</v>
      </c>
      <c r="Q44" s="308">
        <f t="shared" si="6"/>
        <v>0.95588408317018658</v>
      </c>
      <c r="R44" s="616"/>
      <c r="S44" s="32"/>
      <c r="T44" s="32"/>
      <c r="U44" s="12"/>
      <c r="V44" s="313"/>
      <c r="W44" s="12"/>
      <c r="X44" s="12"/>
      <c r="Y44" s="22">
        <f>SUM(Y37:Y43)</f>
        <v>0</v>
      </c>
      <c r="Z44" s="22">
        <f>SUM(Z37:Z43)</f>
        <v>0</v>
      </c>
      <c r="AA44" s="611"/>
      <c r="AB44" s="611"/>
      <c r="AC44" s="22">
        <v>7</v>
      </c>
      <c r="AD44" s="22">
        <f>SUM(AD37:AD43)</f>
        <v>0</v>
      </c>
      <c r="AE44" s="14">
        <f t="shared" si="8"/>
        <v>-95.794562259023678</v>
      </c>
      <c r="AF44" s="308">
        <f t="shared" si="9"/>
        <v>0.95588408317018647</v>
      </c>
      <c r="AG44" s="616"/>
    </row>
    <row r="45" spans="1:33" ht="15.75" customHeight="1">
      <c r="A45" s="623" t="s">
        <v>1553</v>
      </c>
      <c r="B45" s="27" t="s">
        <v>27</v>
      </c>
      <c r="C45" s="605" t="s">
        <v>33</v>
      </c>
      <c r="D45" s="606"/>
      <c r="E45" s="27">
        <v>34.36</v>
      </c>
      <c r="F45" s="314">
        <v>2136</v>
      </c>
      <c r="G45" s="307">
        <f t="shared" ref="G45:G48" si="31">E45*F45</f>
        <v>73392.959999999992</v>
      </c>
      <c r="H45" s="31" t="s">
        <v>40</v>
      </c>
      <c r="I45" s="312">
        <v>10</v>
      </c>
      <c r="J45" s="29">
        <v>3000</v>
      </c>
      <c r="K45" s="12">
        <f t="shared" si="1"/>
        <v>300</v>
      </c>
      <c r="L45" s="312">
        <v>10</v>
      </c>
      <c r="M45" s="13">
        <f t="shared" ref="M45:M48" si="32">F45/V45*60</f>
        <v>2912.727272727273</v>
      </c>
      <c r="N45" s="13">
        <f t="shared" si="3"/>
        <v>291.27272727272731</v>
      </c>
      <c r="O45" s="14">
        <f t="shared" si="4"/>
        <v>0</v>
      </c>
      <c r="P45" s="15">
        <f t="shared" si="5"/>
        <v>-8.7272727272726911</v>
      </c>
      <c r="Q45" s="308">
        <f t="shared" si="6"/>
        <v>0.97090909090909105</v>
      </c>
      <c r="R45" s="626">
        <f>Q49</f>
        <v>0.9592865686169384</v>
      </c>
      <c r="S45" s="32">
        <v>0.20833333333333334</v>
      </c>
      <c r="T45" s="32">
        <v>0.2388888888888889</v>
      </c>
      <c r="U45" s="20"/>
      <c r="V45" s="313">
        <f t="shared" ref="V45:V48" si="33">(T45-S45)*24*60</f>
        <v>44</v>
      </c>
      <c r="W45" s="16"/>
      <c r="X45" s="16"/>
      <c r="Y45" s="19"/>
      <c r="Z45" s="19"/>
      <c r="AA45" s="607"/>
      <c r="AB45" s="608"/>
      <c r="AC45" s="18">
        <v>4</v>
      </c>
      <c r="AD45" s="18"/>
      <c r="AE45" s="14">
        <f t="shared" si="8"/>
        <v>-87.272727272727025</v>
      </c>
      <c r="AF45" s="308">
        <f t="shared" si="9"/>
        <v>0.97090909090909094</v>
      </c>
      <c r="AG45" s="626">
        <f>AF49</f>
        <v>0.95928656861693828</v>
      </c>
    </row>
    <row r="46" spans="1:33" ht="15.75" customHeight="1">
      <c r="A46" s="624" t="s">
        <v>1553</v>
      </c>
      <c r="B46" s="27" t="s">
        <v>27</v>
      </c>
      <c r="C46" s="605" t="s">
        <v>29</v>
      </c>
      <c r="D46" s="606"/>
      <c r="E46" s="27">
        <v>21.13</v>
      </c>
      <c r="F46" s="314">
        <v>5106</v>
      </c>
      <c r="G46" s="307">
        <f t="shared" si="31"/>
        <v>107889.78</v>
      </c>
      <c r="H46" s="31" t="s">
        <v>40</v>
      </c>
      <c r="I46" s="312">
        <v>10</v>
      </c>
      <c r="J46" s="29">
        <v>3000</v>
      </c>
      <c r="K46" s="12">
        <f t="shared" si="1"/>
        <v>300</v>
      </c>
      <c r="L46" s="312">
        <v>10</v>
      </c>
      <c r="M46" s="13">
        <f t="shared" si="32"/>
        <v>2863.1775700934581</v>
      </c>
      <c r="N46" s="13">
        <f t="shared" si="3"/>
        <v>286.31775700934583</v>
      </c>
      <c r="O46" s="14">
        <f t="shared" si="4"/>
        <v>0</v>
      </c>
      <c r="P46" s="15">
        <f t="shared" si="5"/>
        <v>-13.682242990654174</v>
      </c>
      <c r="Q46" s="308">
        <f t="shared" si="6"/>
        <v>0.9543925233644861</v>
      </c>
      <c r="R46" s="627"/>
      <c r="S46" s="32">
        <v>0.24236111111111111</v>
      </c>
      <c r="T46" s="32">
        <v>0.31666666666666665</v>
      </c>
      <c r="U46" s="307">
        <f t="shared" ref="U46:U48" si="34">(S46-T45)*24*60</f>
        <v>4.9999999999999822</v>
      </c>
      <c r="V46" s="313">
        <f t="shared" si="33"/>
        <v>106.99999999999999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-136.82242990654186</v>
      </c>
      <c r="AF46" s="308">
        <f t="shared" si="9"/>
        <v>0.9543925233644861</v>
      </c>
      <c r="AG46" s="627"/>
    </row>
    <row r="47" spans="1:33" ht="15.75" customHeight="1">
      <c r="A47" s="624" t="s">
        <v>1553</v>
      </c>
      <c r="B47" s="27" t="s">
        <v>27</v>
      </c>
      <c r="C47" s="605" t="s">
        <v>30</v>
      </c>
      <c r="D47" s="606"/>
      <c r="E47" s="27">
        <v>27.17</v>
      </c>
      <c r="F47" s="314">
        <v>4902</v>
      </c>
      <c r="G47" s="307">
        <f t="shared" si="31"/>
        <v>133187.34</v>
      </c>
      <c r="H47" s="31" t="s">
        <v>40</v>
      </c>
      <c r="I47" s="312">
        <v>10</v>
      </c>
      <c r="J47" s="29">
        <v>3000</v>
      </c>
      <c r="K47" s="12">
        <f t="shared" si="1"/>
        <v>300</v>
      </c>
      <c r="L47" s="312">
        <v>10</v>
      </c>
      <c r="M47" s="13">
        <f t="shared" si="32"/>
        <v>2855.5339805825256</v>
      </c>
      <c r="N47" s="13">
        <f t="shared" si="3"/>
        <v>285.55339805825258</v>
      </c>
      <c r="O47" s="14">
        <f t="shared" si="4"/>
        <v>0</v>
      </c>
      <c r="P47" s="15">
        <f t="shared" si="5"/>
        <v>-14.446601941747417</v>
      </c>
      <c r="Q47" s="308">
        <f t="shared" si="6"/>
        <v>0.95184466019417524</v>
      </c>
      <c r="R47" s="627"/>
      <c r="S47" s="32">
        <v>0.3208333333333333</v>
      </c>
      <c r="T47" s="32">
        <v>0.39236111111111105</v>
      </c>
      <c r="U47" s="307">
        <f t="shared" si="34"/>
        <v>5.9999999999999787</v>
      </c>
      <c r="V47" s="313">
        <f t="shared" si="33"/>
        <v>102.99999999999996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-144.4660194174744</v>
      </c>
      <c r="AF47" s="308">
        <f t="shared" si="9"/>
        <v>0.95184466019417524</v>
      </c>
      <c r="AG47" s="627"/>
    </row>
    <row r="48" spans="1:33" ht="15.75" customHeight="1">
      <c r="A48" s="624" t="s">
        <v>1553</v>
      </c>
      <c r="B48" s="27" t="s">
        <v>27</v>
      </c>
      <c r="C48" s="605" t="s">
        <v>35</v>
      </c>
      <c r="D48" s="606"/>
      <c r="E48" s="27">
        <v>35.869999999999997</v>
      </c>
      <c r="F48" s="314">
        <v>2640</v>
      </c>
      <c r="G48" s="307">
        <f t="shared" si="31"/>
        <v>94696.799999999988</v>
      </c>
      <c r="H48" s="31" t="s">
        <v>40</v>
      </c>
      <c r="I48" s="312">
        <v>9</v>
      </c>
      <c r="J48" s="29">
        <v>3000</v>
      </c>
      <c r="K48" s="12">
        <f t="shared" si="1"/>
        <v>333.33333333333331</v>
      </c>
      <c r="L48" s="312">
        <v>9</v>
      </c>
      <c r="M48" s="13">
        <f t="shared" si="32"/>
        <v>2880.0000000000018</v>
      </c>
      <c r="N48" s="13">
        <f t="shared" si="3"/>
        <v>320.00000000000023</v>
      </c>
      <c r="O48" s="14">
        <f t="shared" si="4"/>
        <v>0</v>
      </c>
      <c r="P48" s="15">
        <f t="shared" si="5"/>
        <v>-13.333333333333087</v>
      </c>
      <c r="Q48" s="308">
        <f t="shared" si="6"/>
        <v>0.96000000000000074</v>
      </c>
      <c r="R48" s="627"/>
      <c r="S48" s="32">
        <v>0.39583333333333326</v>
      </c>
      <c r="T48" s="32">
        <v>0.43402777777777768</v>
      </c>
      <c r="U48" s="307">
        <f t="shared" si="34"/>
        <v>4.9999999999999822</v>
      </c>
      <c r="V48" s="313">
        <f t="shared" si="33"/>
        <v>54.999999999999964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-119.99999999999818</v>
      </c>
      <c r="AF48" s="308">
        <f t="shared" si="9"/>
        <v>0.96000000000000063</v>
      </c>
      <c r="AG48" s="627"/>
    </row>
    <row r="49" spans="1:33" ht="15.75" customHeight="1">
      <c r="A49" s="625" t="s">
        <v>1553</v>
      </c>
      <c r="B49" s="27" t="s">
        <v>1542</v>
      </c>
      <c r="C49" s="609"/>
      <c r="D49" s="610"/>
      <c r="E49" s="305"/>
      <c r="F49" s="314"/>
      <c r="G49" s="307"/>
      <c r="H49" s="314"/>
      <c r="I49" s="21">
        <v>9.75</v>
      </c>
      <c r="J49" s="29">
        <v>3000</v>
      </c>
      <c r="K49" s="12">
        <f t="shared" si="1"/>
        <v>307.69230769230768</v>
      </c>
      <c r="L49" s="21">
        <v>9.75</v>
      </c>
      <c r="M49" s="13">
        <f>AVERAGE(M45:M48)</f>
        <v>2877.8597058508149</v>
      </c>
      <c r="N49" s="12">
        <f t="shared" si="3"/>
        <v>295.16509803598103</v>
      </c>
      <c r="O49" s="14">
        <f t="shared" si="4"/>
        <v>0</v>
      </c>
      <c r="P49" s="15">
        <f t="shared" si="5"/>
        <v>-12.527209656326647</v>
      </c>
      <c r="Q49" s="308">
        <f t="shared" si="6"/>
        <v>0.9592865686169384</v>
      </c>
      <c r="R49" s="628"/>
      <c r="S49" s="32"/>
      <c r="T49" s="32"/>
      <c r="U49" s="307"/>
      <c r="V49" s="313"/>
      <c r="W49" s="16"/>
      <c r="X49" s="16"/>
      <c r="Y49" s="22">
        <f>SUM(Y45:Y48)</f>
        <v>0</v>
      </c>
      <c r="Z49" s="22">
        <f>SUM(Z45:Z48)</f>
        <v>0</v>
      </c>
      <c r="AA49" s="619"/>
      <c r="AB49" s="620"/>
      <c r="AC49" s="22">
        <v>4</v>
      </c>
      <c r="AD49" s="22">
        <f>SUM(AD45:AD48)</f>
        <v>0</v>
      </c>
      <c r="AE49" s="14">
        <f t="shared" si="8"/>
        <v>-122.14029414918514</v>
      </c>
      <c r="AF49" s="308">
        <f t="shared" si="9"/>
        <v>0.95928656861693828</v>
      </c>
      <c r="AG49" s="628"/>
    </row>
    <row r="50" spans="1:33" ht="15.75" customHeight="1">
      <c r="A50" s="621" t="s">
        <v>1554</v>
      </c>
      <c r="B50" s="27" t="s">
        <v>5</v>
      </c>
      <c r="C50" s="660" t="s">
        <v>15</v>
      </c>
      <c r="D50" s="660"/>
      <c r="E50" s="27">
        <v>59.04</v>
      </c>
      <c r="F50" s="30">
        <v>2029</v>
      </c>
      <c r="G50" s="307">
        <f t="shared" ref="G50:G57" si="35">E50*F50</f>
        <v>119792.16</v>
      </c>
      <c r="H50" s="31" t="s">
        <v>40</v>
      </c>
      <c r="I50" s="312">
        <v>19</v>
      </c>
      <c r="J50" s="29">
        <v>2000</v>
      </c>
      <c r="K50" s="12">
        <f t="shared" si="1"/>
        <v>105.26315789473684</v>
      </c>
      <c r="L50" s="312">
        <v>19</v>
      </c>
      <c r="M50" s="13">
        <f t="shared" ref="M50" si="36">F50/V50*60</f>
        <v>1902.1875000000009</v>
      </c>
      <c r="N50" s="13">
        <f t="shared" si="3"/>
        <v>100.11513157894741</v>
      </c>
      <c r="O50" s="14">
        <f t="shared" si="4"/>
        <v>0</v>
      </c>
      <c r="P50" s="15">
        <f t="shared" si="5"/>
        <v>-5.1480263157894228</v>
      </c>
      <c r="Q50" s="308">
        <f t="shared" si="6"/>
        <v>0.95109375000000052</v>
      </c>
      <c r="R50" s="616">
        <f>Q58</f>
        <v>0.95916478106588143</v>
      </c>
      <c r="S50" s="32">
        <v>0.20833333333333334</v>
      </c>
      <c r="T50" s="32">
        <v>0.25277777777777777</v>
      </c>
      <c r="U50" s="20"/>
      <c r="V50" s="313">
        <f t="shared" ref="V50:V57" si="37">(T50-S50)*24*60</f>
        <v>63.999999999999972</v>
      </c>
      <c r="W50" s="16"/>
      <c r="X50" s="16"/>
      <c r="Y50" s="20"/>
      <c r="Z50" s="20"/>
      <c r="AA50" s="612"/>
      <c r="AB50" s="612"/>
      <c r="AC50" s="18">
        <v>8</v>
      </c>
      <c r="AD50" s="18"/>
      <c r="AE50" s="14">
        <f t="shared" si="8"/>
        <v>-97.812499999999091</v>
      </c>
      <c r="AF50" s="308">
        <f t="shared" si="9"/>
        <v>0.9510937500000004</v>
      </c>
      <c r="AG50" s="616">
        <f>AF58</f>
        <v>0.95916478106588154</v>
      </c>
    </row>
    <row r="51" spans="1:33" ht="15.75" customHeight="1">
      <c r="A51" s="621" t="s">
        <v>1554</v>
      </c>
      <c r="B51" s="27" t="s">
        <v>5</v>
      </c>
      <c r="C51" s="660" t="s">
        <v>31</v>
      </c>
      <c r="D51" s="660"/>
      <c r="E51" s="27">
        <v>56.43</v>
      </c>
      <c r="F51" s="30">
        <v>1250</v>
      </c>
      <c r="G51" s="307">
        <f t="shared" si="35"/>
        <v>70537.5</v>
      </c>
      <c r="H51" s="31" t="s">
        <v>40</v>
      </c>
      <c r="I51" s="312">
        <v>22</v>
      </c>
      <c r="J51" s="29">
        <v>2000</v>
      </c>
      <c r="K51" s="12">
        <f t="shared" si="1"/>
        <v>90.909090909090907</v>
      </c>
      <c r="L51" s="312">
        <v>22</v>
      </c>
      <c r="M51" s="13">
        <f>F51/V51*60</f>
        <v>1923.0769230769222</v>
      </c>
      <c r="N51" s="13">
        <f t="shared" si="3"/>
        <v>87.412587412587371</v>
      </c>
      <c r="O51" s="14">
        <f t="shared" si="4"/>
        <v>0</v>
      </c>
      <c r="P51" s="15">
        <f t="shared" si="5"/>
        <v>-3.4965034965035358</v>
      </c>
      <c r="Q51" s="308">
        <f t="shared" si="6"/>
        <v>0.96153846153846112</v>
      </c>
      <c r="R51" s="616"/>
      <c r="S51" s="32">
        <v>0.2583333333333333</v>
      </c>
      <c r="T51" s="32">
        <v>0.28541666666666665</v>
      </c>
      <c r="U51" s="307">
        <f t="shared" ref="U51:U57" si="38">IF(S51=TIME(17,0,0),"",(S51-T50)*24*60)</f>
        <v>7.9999999999999716</v>
      </c>
      <c r="V51" s="313">
        <f t="shared" si="37"/>
        <v>39.000000000000021</v>
      </c>
      <c r="W51" s="16"/>
      <c r="X51" s="16"/>
      <c r="Y51" s="16"/>
      <c r="Z51" s="16"/>
      <c r="AA51" s="612"/>
      <c r="AB51" s="612"/>
      <c r="AC51" s="18"/>
      <c r="AD51" s="18"/>
      <c r="AE51" s="14">
        <f t="shared" si="8"/>
        <v>-76.923076923077815</v>
      </c>
      <c r="AF51" s="308">
        <f t="shared" si="9"/>
        <v>0.96153846153846112</v>
      </c>
      <c r="AG51" s="616"/>
    </row>
    <row r="52" spans="1:33" ht="15.75" customHeight="1">
      <c r="A52" s="621" t="s">
        <v>1554</v>
      </c>
      <c r="B52" s="27" t="s">
        <v>5</v>
      </c>
      <c r="C52" s="605" t="s">
        <v>81</v>
      </c>
      <c r="D52" s="606"/>
      <c r="E52" s="27">
        <v>51.44</v>
      </c>
      <c r="F52" s="30">
        <v>1851</v>
      </c>
      <c r="G52" s="307">
        <f t="shared" si="35"/>
        <v>95215.44</v>
      </c>
      <c r="H52" s="31" t="s">
        <v>40</v>
      </c>
      <c r="I52" s="312">
        <v>25</v>
      </c>
      <c r="J52" s="29">
        <v>2000</v>
      </c>
      <c r="K52" s="12">
        <f t="shared" si="1"/>
        <v>80</v>
      </c>
      <c r="L52" s="312">
        <v>25</v>
      </c>
      <c r="M52" s="13">
        <f t="shared" ref="M52:M57" si="39">F52/V52*60</f>
        <v>1914.8275862068954</v>
      </c>
      <c r="N52" s="13">
        <f t="shared" si="3"/>
        <v>76.593103448275812</v>
      </c>
      <c r="O52" s="14">
        <f t="shared" si="4"/>
        <v>0</v>
      </c>
      <c r="P52" s="15">
        <f t="shared" si="5"/>
        <v>-3.4068965517241878</v>
      </c>
      <c r="Q52" s="308">
        <f t="shared" si="6"/>
        <v>0.95741379310344765</v>
      </c>
      <c r="R52" s="616"/>
      <c r="S52" s="32">
        <v>0.29097222222222219</v>
      </c>
      <c r="T52" s="32">
        <v>0.33124999999999999</v>
      </c>
      <c r="U52" s="307">
        <f t="shared" si="38"/>
        <v>7.9999999999999716</v>
      </c>
      <c r="V52" s="313">
        <f t="shared" si="37"/>
        <v>58.000000000000036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-85.172413793104624</v>
      </c>
      <c r="AF52" s="308">
        <f t="shared" si="9"/>
        <v>0.95741379310344765</v>
      </c>
      <c r="AG52" s="616"/>
    </row>
    <row r="53" spans="1:33" ht="15.75" customHeight="1">
      <c r="A53" s="621" t="s">
        <v>1554</v>
      </c>
      <c r="B53" s="27" t="s">
        <v>8</v>
      </c>
      <c r="C53" s="301" t="s">
        <v>61</v>
      </c>
      <c r="D53" s="302"/>
      <c r="E53" s="27">
        <v>46</v>
      </c>
      <c r="F53" s="30">
        <v>1981</v>
      </c>
      <c r="G53" s="307">
        <f t="shared" si="35"/>
        <v>91126</v>
      </c>
      <c r="H53" s="31" t="s">
        <v>40</v>
      </c>
      <c r="I53" s="312">
        <v>16</v>
      </c>
      <c r="J53" s="29">
        <v>2000</v>
      </c>
      <c r="K53" s="12">
        <f t="shared" si="1"/>
        <v>125</v>
      </c>
      <c r="L53" s="312">
        <v>16</v>
      </c>
      <c r="M53" s="13">
        <f t="shared" si="39"/>
        <v>1917.0967741935478</v>
      </c>
      <c r="N53" s="13">
        <f t="shared" si="3"/>
        <v>119.81854838709674</v>
      </c>
      <c r="O53" s="14">
        <f t="shared" si="4"/>
        <v>0</v>
      </c>
      <c r="P53" s="15">
        <f t="shared" si="5"/>
        <v>-5.1814516129032597</v>
      </c>
      <c r="Q53" s="308">
        <f t="shared" si="6"/>
        <v>0.95854838709677392</v>
      </c>
      <c r="R53" s="616"/>
      <c r="S53" s="32">
        <v>0.33611111111111108</v>
      </c>
      <c r="T53" s="32">
        <v>0.37916666666666665</v>
      </c>
      <c r="U53" s="307">
        <f t="shared" si="38"/>
        <v>6.9999999999999751</v>
      </c>
      <c r="V53" s="313">
        <f t="shared" si="37"/>
        <v>62.000000000000021</v>
      </c>
      <c r="W53" s="16"/>
      <c r="X53" s="16"/>
      <c r="Y53" s="19"/>
      <c r="Z53" s="19"/>
      <c r="AA53" s="612"/>
      <c r="AB53" s="612"/>
      <c r="AC53" s="18"/>
      <c r="AD53" s="18"/>
      <c r="AE53" s="14">
        <f t="shared" si="8"/>
        <v>-82.903225806452156</v>
      </c>
      <c r="AF53" s="308">
        <f t="shared" si="9"/>
        <v>0.95854838709677392</v>
      </c>
      <c r="AG53" s="616"/>
    </row>
    <row r="54" spans="1:33" ht="15.75" customHeight="1">
      <c r="A54" s="621" t="s">
        <v>1554</v>
      </c>
      <c r="B54" s="27" t="s">
        <v>8</v>
      </c>
      <c r="C54" s="301" t="s">
        <v>79</v>
      </c>
      <c r="D54" s="302"/>
      <c r="E54" s="27">
        <v>46</v>
      </c>
      <c r="F54" s="30">
        <v>2494</v>
      </c>
      <c r="G54" s="307">
        <f t="shared" si="35"/>
        <v>114724</v>
      </c>
      <c r="H54" s="31" t="s">
        <v>40</v>
      </c>
      <c r="I54" s="312">
        <v>17</v>
      </c>
      <c r="J54" s="29">
        <v>2000</v>
      </c>
      <c r="K54" s="12">
        <f t="shared" si="1"/>
        <v>117.64705882352941</v>
      </c>
      <c r="L54" s="312">
        <v>17</v>
      </c>
      <c r="M54" s="13">
        <f t="shared" si="39"/>
        <v>1918.4615384615374</v>
      </c>
      <c r="N54" s="13">
        <f t="shared" si="3"/>
        <v>112.85067873303161</v>
      </c>
      <c r="O54" s="14">
        <f t="shared" si="4"/>
        <v>0</v>
      </c>
      <c r="P54" s="15">
        <f t="shared" si="5"/>
        <v>-4.7963800904977916</v>
      </c>
      <c r="Q54" s="308">
        <f t="shared" si="6"/>
        <v>0.95923076923076878</v>
      </c>
      <c r="R54" s="616"/>
      <c r="S54" s="32">
        <v>0.38402777777777775</v>
      </c>
      <c r="T54" s="32">
        <v>0.43819444444444444</v>
      </c>
      <c r="U54" s="307">
        <f t="shared" si="38"/>
        <v>6.9999999999999751</v>
      </c>
      <c r="V54" s="313">
        <f t="shared" si="37"/>
        <v>78.000000000000043</v>
      </c>
      <c r="W54" s="16"/>
      <c r="X54" s="16"/>
      <c r="Y54" s="19"/>
      <c r="Z54" s="19"/>
      <c r="AA54" s="612"/>
      <c r="AB54" s="612"/>
      <c r="AC54" s="18"/>
      <c r="AD54" s="18"/>
      <c r="AE54" s="14">
        <f t="shared" si="8"/>
        <v>-81.53846153846257</v>
      </c>
      <c r="AF54" s="308">
        <f t="shared" si="9"/>
        <v>0.95923076923076867</v>
      </c>
      <c r="AG54" s="616"/>
    </row>
    <row r="55" spans="1:33" ht="15.75" customHeight="1">
      <c r="A55" s="621" t="s">
        <v>1554</v>
      </c>
      <c r="B55" s="27" t="s">
        <v>5</v>
      </c>
      <c r="C55" s="605" t="s">
        <v>77</v>
      </c>
      <c r="D55" s="606"/>
      <c r="E55" s="27">
        <v>54.09</v>
      </c>
      <c r="F55" s="30">
        <v>990</v>
      </c>
      <c r="G55" s="307">
        <f t="shared" si="35"/>
        <v>53549.100000000006</v>
      </c>
      <c r="H55" s="31" t="s">
        <v>40</v>
      </c>
      <c r="I55" s="312">
        <v>13</v>
      </c>
      <c r="J55" s="29">
        <v>2000</v>
      </c>
      <c r="K55" s="12">
        <f t="shared" si="1"/>
        <v>153.84615384615384</v>
      </c>
      <c r="L55" s="312">
        <v>13</v>
      </c>
      <c r="M55" s="13">
        <f t="shared" si="39"/>
        <v>1916.1290322580614</v>
      </c>
      <c r="N55" s="13">
        <f t="shared" si="3"/>
        <v>147.39454094292779</v>
      </c>
      <c r="O55" s="14">
        <f t="shared" si="4"/>
        <v>0</v>
      </c>
      <c r="P55" s="15">
        <f t="shared" si="5"/>
        <v>-6.4516129032260494</v>
      </c>
      <c r="Q55" s="308">
        <f t="shared" si="6"/>
        <v>0.95806451612903065</v>
      </c>
      <c r="R55" s="616"/>
      <c r="S55" s="32">
        <v>0.70833333333333337</v>
      </c>
      <c r="T55" s="32">
        <v>0.72986111111111118</v>
      </c>
      <c r="U55" s="307" t="str">
        <f t="shared" si="38"/>
        <v/>
      </c>
      <c r="V55" s="313">
        <f t="shared" si="37"/>
        <v>31.00000000000005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-83.870967741938557</v>
      </c>
      <c r="AF55" s="308">
        <f t="shared" si="9"/>
        <v>0.95806451612903076</v>
      </c>
      <c r="AG55" s="616"/>
    </row>
    <row r="56" spans="1:33" ht="15.75" customHeight="1">
      <c r="A56" s="621" t="s">
        <v>1554</v>
      </c>
      <c r="B56" s="27" t="s">
        <v>5</v>
      </c>
      <c r="C56" s="605" t="s">
        <v>62</v>
      </c>
      <c r="D56" s="606"/>
      <c r="E56" s="27">
        <v>51.06</v>
      </c>
      <c r="F56" s="30">
        <v>2680</v>
      </c>
      <c r="G56" s="307">
        <f t="shared" si="35"/>
        <v>136840.80000000002</v>
      </c>
      <c r="H56" s="31" t="s">
        <v>40</v>
      </c>
      <c r="I56" s="312">
        <v>13</v>
      </c>
      <c r="J56" s="29">
        <v>2000</v>
      </c>
      <c r="K56" s="12">
        <f t="shared" si="1"/>
        <v>153.84615384615384</v>
      </c>
      <c r="L56" s="312">
        <v>13</v>
      </c>
      <c r="M56" s="13">
        <f t="shared" si="39"/>
        <v>1914.2857142857138</v>
      </c>
      <c r="N56" s="13">
        <f t="shared" si="3"/>
        <v>147.25274725274721</v>
      </c>
      <c r="O56" s="14">
        <f t="shared" si="4"/>
        <v>0</v>
      </c>
      <c r="P56" s="15">
        <f t="shared" si="5"/>
        <v>-6.5934065934066268</v>
      </c>
      <c r="Q56" s="308">
        <f t="shared" si="6"/>
        <v>0.95714285714285696</v>
      </c>
      <c r="R56" s="616"/>
      <c r="S56" s="32">
        <v>0.73541666666666672</v>
      </c>
      <c r="T56" s="32">
        <v>0.79375000000000007</v>
      </c>
      <c r="U56" s="307">
        <f t="shared" si="38"/>
        <v>7.9999999999999716</v>
      </c>
      <c r="V56" s="313">
        <f t="shared" si="37"/>
        <v>84.000000000000028</v>
      </c>
      <c r="W56" s="16"/>
      <c r="X56" s="16"/>
      <c r="Y56" s="19"/>
      <c r="Z56" s="19"/>
      <c r="AA56" s="607"/>
      <c r="AB56" s="608"/>
      <c r="AC56" s="18"/>
      <c r="AD56" s="18"/>
      <c r="AE56" s="14">
        <f t="shared" si="8"/>
        <v>-85.714285714286234</v>
      </c>
      <c r="AF56" s="308">
        <f t="shared" si="9"/>
        <v>0.95714285714285685</v>
      </c>
      <c r="AG56" s="616"/>
    </row>
    <row r="57" spans="1:33" ht="15.75" customHeight="1">
      <c r="A57" s="621" t="s">
        <v>1554</v>
      </c>
      <c r="B57" s="27" t="s">
        <v>5</v>
      </c>
      <c r="C57" s="605" t="s">
        <v>7</v>
      </c>
      <c r="D57" s="606"/>
      <c r="E57" s="27">
        <v>50.67</v>
      </c>
      <c r="F57" s="30">
        <v>1132</v>
      </c>
      <c r="G57" s="307">
        <f t="shared" si="35"/>
        <v>57358.44</v>
      </c>
      <c r="H57" s="31" t="s">
        <v>40</v>
      </c>
      <c r="I57" s="312">
        <v>15</v>
      </c>
      <c r="J57" s="29">
        <v>2000</v>
      </c>
      <c r="K57" s="12">
        <f t="shared" si="1"/>
        <v>133.33333333333334</v>
      </c>
      <c r="L57" s="312">
        <v>15</v>
      </c>
      <c r="M57" s="13">
        <f t="shared" si="39"/>
        <v>1940.5714285714268</v>
      </c>
      <c r="N57" s="13">
        <f t="shared" si="3"/>
        <v>129.37142857142845</v>
      </c>
      <c r="O57" s="14">
        <f t="shared" si="4"/>
        <v>0</v>
      </c>
      <c r="P57" s="15">
        <f t="shared" si="5"/>
        <v>-3.9619047619048899</v>
      </c>
      <c r="Q57" s="308">
        <f t="shared" si="6"/>
        <v>0.97028571428571331</v>
      </c>
      <c r="R57" s="616"/>
      <c r="S57" s="32">
        <v>0.7993055555555556</v>
      </c>
      <c r="T57" s="32">
        <v>0.82361111111111118</v>
      </c>
      <c r="U57" s="307">
        <f t="shared" si="38"/>
        <v>7.9999999999999716</v>
      </c>
      <c r="V57" s="313">
        <f t="shared" si="37"/>
        <v>35.000000000000036</v>
      </c>
      <c r="W57" s="16"/>
      <c r="X57" s="16"/>
      <c r="Y57" s="19"/>
      <c r="Z57" s="19"/>
      <c r="AA57" s="607"/>
      <c r="AB57" s="608"/>
      <c r="AC57" s="18"/>
      <c r="AD57" s="18"/>
      <c r="AE57" s="14">
        <f t="shared" si="8"/>
        <v>-59.42857142857315</v>
      </c>
      <c r="AF57" s="308">
        <f t="shared" si="9"/>
        <v>0.97028571428571342</v>
      </c>
      <c r="AG57" s="616"/>
    </row>
    <row r="58" spans="1:33">
      <c r="A58" s="622" t="s">
        <v>1554</v>
      </c>
      <c r="B58" s="27" t="s">
        <v>1542</v>
      </c>
      <c r="C58" s="658"/>
      <c r="D58" s="658"/>
      <c r="E58" s="309"/>
      <c r="F58" s="28"/>
      <c r="G58" s="12"/>
      <c r="H58" s="314"/>
      <c r="I58" s="21">
        <v>17.5</v>
      </c>
      <c r="J58" s="29">
        <v>2000</v>
      </c>
      <c r="K58" s="12">
        <f t="shared" si="1"/>
        <v>114.28571428571429</v>
      </c>
      <c r="L58" s="21">
        <v>17.5</v>
      </c>
      <c r="M58" s="13">
        <f>AVERAGE(M50:M57)</f>
        <v>1918.3295621317632</v>
      </c>
      <c r="N58" s="12">
        <f t="shared" si="3"/>
        <v>109.61883212181503</v>
      </c>
      <c r="O58" s="14">
        <f t="shared" si="4"/>
        <v>0</v>
      </c>
      <c r="P58" s="15">
        <f t="shared" si="5"/>
        <v>-4.6668821638992597</v>
      </c>
      <c r="Q58" s="308">
        <f t="shared" si="6"/>
        <v>0.95916478106588143</v>
      </c>
      <c r="R58" s="616"/>
      <c r="S58" s="32"/>
      <c r="T58" s="32"/>
      <c r="U58" s="307"/>
      <c r="V58" s="313"/>
      <c r="W58" s="12"/>
      <c r="X58" s="12"/>
      <c r="Y58" s="22">
        <f>SUM(Y50:Y57)</f>
        <v>0</v>
      </c>
      <c r="Z58" s="22">
        <f>SUM(Z50:Z57)</f>
        <v>0</v>
      </c>
      <c r="AA58" s="611"/>
      <c r="AB58" s="611"/>
      <c r="AC58" s="22">
        <v>8</v>
      </c>
      <c r="AD58" s="22">
        <f>SUM(AD50:AD57)</f>
        <v>0</v>
      </c>
      <c r="AE58" s="14">
        <f>M58-J58</f>
        <v>-81.670437868236831</v>
      </c>
      <c r="AF58" s="308">
        <f t="shared" si="9"/>
        <v>0.95916478106588154</v>
      </c>
      <c r="AG58" s="616"/>
    </row>
    <row r="59" spans="1:33" ht="15.75" customHeight="1">
      <c r="A59" s="617" t="s">
        <v>1555</v>
      </c>
      <c r="B59" s="314" t="s">
        <v>27</v>
      </c>
      <c r="C59" s="660" t="s">
        <v>28</v>
      </c>
      <c r="D59" s="660"/>
      <c r="E59" s="27">
        <v>35.119999999999997</v>
      </c>
      <c r="F59" s="30">
        <v>4263</v>
      </c>
      <c r="G59" s="307">
        <f t="shared" ref="G59:G62" si="40">E59*F59</f>
        <v>149716.56</v>
      </c>
      <c r="H59" s="31" t="s">
        <v>40</v>
      </c>
      <c r="I59" s="312">
        <v>10</v>
      </c>
      <c r="J59" s="29">
        <v>3000</v>
      </c>
      <c r="K59" s="12">
        <f t="shared" si="1"/>
        <v>300</v>
      </c>
      <c r="L59" s="312">
        <v>10</v>
      </c>
      <c r="M59" s="13">
        <f t="shared" ref="M59:M62" si="41">F59/V59*60</f>
        <v>2873.9325842696617</v>
      </c>
      <c r="N59" s="12">
        <f t="shared" si="3"/>
        <v>287.39325842696616</v>
      </c>
      <c r="O59" s="14">
        <f t="shared" si="4"/>
        <v>0</v>
      </c>
      <c r="P59" s="15">
        <f t="shared" si="5"/>
        <v>-12.606741573033844</v>
      </c>
      <c r="Q59" s="308">
        <f t="shared" si="6"/>
        <v>0.95797752808988723</v>
      </c>
      <c r="R59" s="616">
        <f>Q63</f>
        <v>0.96175905963264641</v>
      </c>
      <c r="S59" s="32">
        <v>0.20833333333333334</v>
      </c>
      <c r="T59" s="32">
        <v>0.27013888888888893</v>
      </c>
      <c r="U59" s="307"/>
      <c r="V59" s="313">
        <f t="shared" ref="V59:V62" si="42">(T59-S59)*24*60</f>
        <v>89.000000000000043</v>
      </c>
      <c r="W59" s="16"/>
      <c r="X59" s="16"/>
      <c r="Y59" s="20"/>
      <c r="Z59" s="20"/>
      <c r="AA59" s="612"/>
      <c r="AB59" s="612"/>
      <c r="AC59" s="18">
        <v>4</v>
      </c>
      <c r="AD59" s="18"/>
      <c r="AE59" s="14">
        <f t="shared" ref="AE59:AE71" si="43">M59-J59</f>
        <v>-126.06741573033833</v>
      </c>
      <c r="AF59" s="308">
        <f t="shared" si="9"/>
        <v>0.95797752808988723</v>
      </c>
      <c r="AG59" s="616">
        <f>AF63</f>
        <v>0.96175905963264652</v>
      </c>
    </row>
    <row r="60" spans="1:33" ht="15.75" customHeight="1">
      <c r="A60" s="617" t="s">
        <v>1555</v>
      </c>
      <c r="B60" s="314" t="s">
        <v>27</v>
      </c>
      <c r="C60" s="660" t="s">
        <v>34</v>
      </c>
      <c r="D60" s="660"/>
      <c r="E60" s="27">
        <v>26.78</v>
      </c>
      <c r="F60" s="30">
        <v>2337</v>
      </c>
      <c r="G60" s="307">
        <f t="shared" si="40"/>
        <v>62584.86</v>
      </c>
      <c r="H60" s="31" t="s">
        <v>40</v>
      </c>
      <c r="I60" s="312">
        <v>10</v>
      </c>
      <c r="J60" s="29">
        <v>3000</v>
      </c>
      <c r="K60" s="12">
        <f t="shared" si="1"/>
        <v>300</v>
      </c>
      <c r="L60" s="312">
        <v>10</v>
      </c>
      <c r="M60" s="13">
        <f t="shared" si="41"/>
        <v>2861.632653061225</v>
      </c>
      <c r="N60" s="12">
        <f t="shared" si="3"/>
        <v>286.16326530612253</v>
      </c>
      <c r="O60" s="14">
        <f t="shared" si="4"/>
        <v>0</v>
      </c>
      <c r="P60" s="15">
        <f t="shared" si="5"/>
        <v>-13.836734693877474</v>
      </c>
      <c r="Q60" s="308">
        <f t="shared" si="6"/>
        <v>0.95387755102040839</v>
      </c>
      <c r="R60" s="616"/>
      <c r="S60" s="32">
        <v>0.27500000000000002</v>
      </c>
      <c r="T60" s="32">
        <v>0.30902777777777779</v>
      </c>
      <c r="U60" s="307">
        <f t="shared" ref="U60:U62" si="44">(S60-T59)*24*60</f>
        <v>6.9999999999999751</v>
      </c>
      <c r="V60" s="313">
        <f t="shared" si="42"/>
        <v>48.999999999999986</v>
      </c>
      <c r="W60" s="307"/>
      <c r="X60" s="307"/>
      <c r="Y60" s="307"/>
      <c r="Z60" s="307"/>
      <c r="AA60" s="612"/>
      <c r="AB60" s="612"/>
      <c r="AC60" s="18"/>
      <c r="AD60" s="18"/>
      <c r="AE60" s="14">
        <f t="shared" si="43"/>
        <v>-138.36734693877497</v>
      </c>
      <c r="AF60" s="308">
        <f t="shared" si="9"/>
        <v>0.95387755102040839</v>
      </c>
      <c r="AG60" s="616"/>
    </row>
    <row r="61" spans="1:33" ht="15.75" customHeight="1">
      <c r="A61" s="617" t="s">
        <v>1555</v>
      </c>
      <c r="B61" s="314" t="s">
        <v>27</v>
      </c>
      <c r="C61" s="660" t="s">
        <v>36</v>
      </c>
      <c r="D61" s="660"/>
      <c r="E61" s="27">
        <v>34.35</v>
      </c>
      <c r="F61" s="30">
        <v>1177</v>
      </c>
      <c r="G61" s="307">
        <f t="shared" si="40"/>
        <v>40429.950000000004</v>
      </c>
      <c r="H61" s="31" t="s">
        <v>40</v>
      </c>
      <c r="I61" s="312">
        <v>8</v>
      </c>
      <c r="J61" s="29">
        <v>3000</v>
      </c>
      <c r="K61" s="12">
        <f t="shared" si="1"/>
        <v>375</v>
      </c>
      <c r="L61" s="312">
        <v>8</v>
      </c>
      <c r="M61" s="13">
        <f t="shared" si="41"/>
        <v>2942.5000000000009</v>
      </c>
      <c r="N61" s="12">
        <f t="shared" si="3"/>
        <v>367.81250000000011</v>
      </c>
      <c r="O61" s="14">
        <f t="shared" si="4"/>
        <v>0</v>
      </c>
      <c r="P61" s="15">
        <f t="shared" si="5"/>
        <v>-7.1874999999998863</v>
      </c>
      <c r="Q61" s="308">
        <f t="shared" si="6"/>
        <v>0.98083333333333367</v>
      </c>
      <c r="R61" s="616"/>
      <c r="S61" s="32">
        <v>0.3125</v>
      </c>
      <c r="T61" s="32">
        <v>0.32916666666666666</v>
      </c>
      <c r="U61" s="307">
        <f t="shared" si="44"/>
        <v>4.9999999999999822</v>
      </c>
      <c r="V61" s="313">
        <f t="shared" si="42"/>
        <v>23.999999999999993</v>
      </c>
      <c r="W61" s="307"/>
      <c r="X61" s="307"/>
      <c r="Y61" s="307"/>
      <c r="Z61" s="307"/>
      <c r="AA61" s="612"/>
      <c r="AB61" s="612"/>
      <c r="AC61" s="18"/>
      <c r="AD61" s="18"/>
      <c r="AE61" s="14">
        <f t="shared" si="43"/>
        <v>-57.499999999999091</v>
      </c>
      <c r="AF61" s="308">
        <f t="shared" si="9"/>
        <v>0.98083333333333367</v>
      </c>
      <c r="AG61" s="616"/>
    </row>
    <row r="62" spans="1:33" ht="15.75" customHeight="1">
      <c r="A62" s="617" t="s">
        <v>1555</v>
      </c>
      <c r="B62" s="314" t="s">
        <v>27</v>
      </c>
      <c r="C62" s="660" t="s">
        <v>737</v>
      </c>
      <c r="D62" s="660"/>
      <c r="E62" s="27">
        <v>36.14</v>
      </c>
      <c r="F62" s="30">
        <v>2195</v>
      </c>
      <c r="G62" s="307">
        <f t="shared" si="40"/>
        <v>79327.3</v>
      </c>
      <c r="H62" s="31" t="s">
        <v>40</v>
      </c>
      <c r="I62" s="312">
        <v>11</v>
      </c>
      <c r="J62" s="29">
        <v>3000</v>
      </c>
      <c r="K62" s="12">
        <f t="shared" si="1"/>
        <v>272.72727272727275</v>
      </c>
      <c r="L62" s="312">
        <v>11</v>
      </c>
      <c r="M62" s="13">
        <f t="shared" si="41"/>
        <v>2863.0434782608695</v>
      </c>
      <c r="N62" s="12">
        <f t="shared" si="3"/>
        <v>260.27667984189725</v>
      </c>
      <c r="O62" s="14">
        <f t="shared" si="4"/>
        <v>0</v>
      </c>
      <c r="P62" s="15">
        <f t="shared" si="5"/>
        <v>-12.450592885375499</v>
      </c>
      <c r="Q62" s="308">
        <f t="shared" si="6"/>
        <v>0.95434782608695645</v>
      </c>
      <c r="R62" s="616"/>
      <c r="S62" s="32">
        <v>0.33402777777777776</v>
      </c>
      <c r="T62" s="32">
        <v>0.3659722222222222</v>
      </c>
      <c r="U62" s="307">
        <f t="shared" si="44"/>
        <v>6.9999999999999751</v>
      </c>
      <c r="V62" s="313">
        <f t="shared" si="42"/>
        <v>46</v>
      </c>
      <c r="W62" s="307"/>
      <c r="X62" s="307"/>
      <c r="Y62" s="307"/>
      <c r="Z62" s="307"/>
      <c r="AA62" s="612"/>
      <c r="AB62" s="612"/>
      <c r="AC62" s="18"/>
      <c r="AD62" s="18"/>
      <c r="AE62" s="14">
        <f t="shared" si="43"/>
        <v>-136.95652173913049</v>
      </c>
      <c r="AF62" s="308">
        <f t="shared" si="9"/>
        <v>0.95434782608695645</v>
      </c>
      <c r="AG62" s="616"/>
    </row>
    <row r="63" spans="1:33">
      <c r="A63" s="618" t="s">
        <v>1555</v>
      </c>
      <c r="B63" s="27" t="s">
        <v>1542</v>
      </c>
      <c r="C63" s="658"/>
      <c r="D63" s="658"/>
      <c r="E63" s="309"/>
      <c r="F63" s="28"/>
      <c r="G63" s="12"/>
      <c r="H63" s="314"/>
      <c r="I63" s="21">
        <v>9.75</v>
      </c>
      <c r="J63" s="29">
        <v>3000</v>
      </c>
      <c r="K63" s="12">
        <f t="shared" si="1"/>
        <v>307.69230769230768</v>
      </c>
      <c r="L63" s="21">
        <v>9.75</v>
      </c>
      <c r="M63" s="13">
        <f>AVERAGE(M59:M62)</f>
        <v>2885.2771788979394</v>
      </c>
      <c r="N63" s="12">
        <f t="shared" si="3"/>
        <v>295.92586450235274</v>
      </c>
      <c r="O63" s="14">
        <f t="shared" si="4"/>
        <v>0</v>
      </c>
      <c r="P63" s="15">
        <f t="shared" si="5"/>
        <v>-11.766443189954941</v>
      </c>
      <c r="Q63" s="308">
        <f t="shared" si="6"/>
        <v>0.96175905963264641</v>
      </c>
      <c r="R63" s="616"/>
      <c r="S63" s="32"/>
      <c r="T63" s="32"/>
      <c r="U63" s="12"/>
      <c r="V63" s="313"/>
      <c r="W63" s="12"/>
      <c r="X63" s="12"/>
      <c r="Y63" s="22">
        <f>SUM(Y59:Y62)</f>
        <v>0</v>
      </c>
      <c r="Z63" s="22">
        <f>SUM(Z59:Z62)</f>
        <v>0</v>
      </c>
      <c r="AA63" s="611"/>
      <c r="AB63" s="611"/>
      <c r="AC63" s="22">
        <v>4</v>
      </c>
      <c r="AD63" s="22">
        <f>SUM(AD59:AD62)</f>
        <v>0</v>
      </c>
      <c r="AE63" s="14">
        <f t="shared" si="43"/>
        <v>-114.72282110206061</v>
      </c>
      <c r="AF63" s="308">
        <f t="shared" si="9"/>
        <v>0.96175905963264652</v>
      </c>
      <c r="AG63" s="616"/>
    </row>
    <row r="64" spans="1:33" ht="15.75" customHeight="1">
      <c r="A64" s="613" t="s">
        <v>1556</v>
      </c>
      <c r="B64" s="314" t="s">
        <v>20</v>
      </c>
      <c r="C64" s="660" t="s">
        <v>39</v>
      </c>
      <c r="D64" s="660"/>
      <c r="E64" s="27">
        <v>19.02</v>
      </c>
      <c r="F64" s="314">
        <v>4700</v>
      </c>
      <c r="G64" s="307">
        <f t="shared" ref="G64:G70" si="45">E64*F64</f>
        <v>89394</v>
      </c>
      <c r="H64" s="31">
        <v>2</v>
      </c>
      <c r="I64" s="312">
        <v>14</v>
      </c>
      <c r="J64" s="29">
        <v>2400</v>
      </c>
      <c r="K64" s="12">
        <f t="shared" si="1"/>
        <v>171.42857142857142</v>
      </c>
      <c r="L64" s="312">
        <v>14</v>
      </c>
      <c r="M64" s="13">
        <f t="shared" ref="M64:M70" si="46">F64/V64*60</f>
        <v>2292.6829268292686</v>
      </c>
      <c r="N64" s="12">
        <f t="shared" si="3"/>
        <v>163.76306620209061</v>
      </c>
      <c r="O64" s="14">
        <f t="shared" si="4"/>
        <v>0</v>
      </c>
      <c r="P64" s="15">
        <f t="shared" si="5"/>
        <v>-7.6655052264808035</v>
      </c>
      <c r="Q64" s="308">
        <f t="shared" si="6"/>
        <v>0.9552845528455286</v>
      </c>
      <c r="R64" s="616">
        <f>Q71</f>
        <v>0.95620217175251232</v>
      </c>
      <c r="S64" s="32">
        <v>8.3333333333333329E-2</v>
      </c>
      <c r="T64" s="32">
        <v>0.16874999999999998</v>
      </c>
      <c r="U64" s="20"/>
      <c r="V64" s="313">
        <f t="shared" ref="V64:V70" si="47">(T64-S64)*24*60</f>
        <v>122.99999999999999</v>
      </c>
      <c r="W64" s="16">
        <f>T64</f>
        <v>0.16874999999999998</v>
      </c>
      <c r="X64" s="16">
        <f>S65</f>
        <v>0.18680555555555553</v>
      </c>
      <c r="Y64" s="16"/>
      <c r="Z64" s="16"/>
      <c r="AA64" s="612"/>
      <c r="AB64" s="612"/>
      <c r="AC64" s="18">
        <v>7</v>
      </c>
      <c r="AD64" s="18"/>
      <c r="AE64" s="14">
        <f t="shared" si="43"/>
        <v>-107.31707317073142</v>
      </c>
      <c r="AF64" s="308">
        <f t="shared" si="9"/>
        <v>0.9552845528455286</v>
      </c>
      <c r="AG64" s="616">
        <f>AF71</f>
        <v>0.95620217175251243</v>
      </c>
    </row>
    <row r="65" spans="1:33" ht="15.75" customHeight="1">
      <c r="A65" s="614" t="s">
        <v>1556</v>
      </c>
      <c r="B65" s="314" t="s">
        <v>20</v>
      </c>
      <c r="C65" s="660" t="s">
        <v>24</v>
      </c>
      <c r="D65" s="660"/>
      <c r="E65" s="27">
        <v>20.36</v>
      </c>
      <c r="F65" s="314">
        <v>4160</v>
      </c>
      <c r="G65" s="307">
        <f t="shared" si="45"/>
        <v>84697.599999999991</v>
      </c>
      <c r="H65" s="31" t="s">
        <v>40</v>
      </c>
      <c r="I65" s="312">
        <v>17</v>
      </c>
      <c r="J65" s="29">
        <v>2400</v>
      </c>
      <c r="K65" s="12">
        <f t="shared" si="1"/>
        <v>141.1764705882353</v>
      </c>
      <c r="L65" s="312">
        <v>17</v>
      </c>
      <c r="M65" s="13">
        <f t="shared" si="46"/>
        <v>2289.9082568807348</v>
      </c>
      <c r="N65" s="12">
        <f t="shared" si="3"/>
        <v>134.70048569886674</v>
      </c>
      <c r="O65" s="14">
        <f t="shared" si="4"/>
        <v>0</v>
      </c>
      <c r="P65" s="15">
        <f t="shared" si="5"/>
        <v>-6.4759848893685614</v>
      </c>
      <c r="Q65" s="308">
        <f t="shared" si="6"/>
        <v>0.95412844036697264</v>
      </c>
      <c r="R65" s="616"/>
      <c r="S65" s="32">
        <v>0.18680555555555553</v>
      </c>
      <c r="T65" s="32">
        <v>0.26249999999999996</v>
      </c>
      <c r="U65" s="307">
        <f t="shared" ref="U65:U70" si="48">(S65-T64)*24*60</f>
        <v>25.999999999999986</v>
      </c>
      <c r="V65" s="313">
        <f t="shared" si="47"/>
        <v>108.99999999999997</v>
      </c>
      <c r="W65" s="16"/>
      <c r="X65" s="16"/>
      <c r="Y65" s="16"/>
      <c r="Z65" s="16"/>
      <c r="AA65" s="612"/>
      <c r="AB65" s="612"/>
      <c r="AC65" s="18"/>
      <c r="AD65" s="18"/>
      <c r="AE65" s="14">
        <f t="shared" si="43"/>
        <v>-110.09174311926517</v>
      </c>
      <c r="AF65" s="308">
        <f t="shared" si="9"/>
        <v>0.95412844036697286</v>
      </c>
      <c r="AG65" s="616"/>
    </row>
    <row r="66" spans="1:33" ht="15.75" customHeight="1">
      <c r="A66" s="614" t="s">
        <v>1556</v>
      </c>
      <c r="B66" s="314" t="s">
        <v>20</v>
      </c>
      <c r="C66" s="660" t="s">
        <v>80</v>
      </c>
      <c r="D66" s="660"/>
      <c r="E66" s="27">
        <v>25.98</v>
      </c>
      <c r="F66" s="314">
        <v>3461</v>
      </c>
      <c r="G66" s="307">
        <f t="shared" si="45"/>
        <v>89916.78</v>
      </c>
      <c r="H66" s="31" t="s">
        <v>40</v>
      </c>
      <c r="I66" s="312">
        <v>17</v>
      </c>
      <c r="J66" s="29">
        <v>2400</v>
      </c>
      <c r="K66" s="12">
        <f t="shared" si="1"/>
        <v>141.1764705882353</v>
      </c>
      <c r="L66" s="312">
        <v>17</v>
      </c>
      <c r="M66" s="13">
        <f t="shared" si="46"/>
        <v>2307.3333333333335</v>
      </c>
      <c r="N66" s="12">
        <f t="shared" si="3"/>
        <v>135.72549019607845</v>
      </c>
      <c r="O66" s="14">
        <f t="shared" si="4"/>
        <v>0</v>
      </c>
      <c r="P66" s="15">
        <f t="shared" si="5"/>
        <v>-5.4509803921568505</v>
      </c>
      <c r="Q66" s="308">
        <f t="shared" si="6"/>
        <v>0.96138888888888896</v>
      </c>
      <c r="R66" s="616"/>
      <c r="S66" s="32">
        <v>0.26736111111111105</v>
      </c>
      <c r="T66" s="32">
        <v>0.32986111111111105</v>
      </c>
      <c r="U66" s="307">
        <f t="shared" si="48"/>
        <v>6.9999999999999751</v>
      </c>
      <c r="V66" s="313">
        <f t="shared" si="47"/>
        <v>90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-92.666666666666515</v>
      </c>
      <c r="AF66" s="308">
        <f t="shared" si="9"/>
        <v>0.96138888888888896</v>
      </c>
      <c r="AG66" s="616"/>
    </row>
    <row r="67" spans="1:33" ht="15.75" customHeight="1">
      <c r="A67" s="614" t="s">
        <v>1556</v>
      </c>
      <c r="B67" s="314" t="s">
        <v>20</v>
      </c>
      <c r="C67" s="660" t="s">
        <v>739</v>
      </c>
      <c r="D67" s="660"/>
      <c r="E67" s="27">
        <v>28.29</v>
      </c>
      <c r="F67" s="314">
        <v>5072</v>
      </c>
      <c r="G67" s="307">
        <f t="shared" si="45"/>
        <v>143486.88</v>
      </c>
      <c r="H67" s="31" t="s">
        <v>40</v>
      </c>
      <c r="I67" s="312">
        <v>21</v>
      </c>
      <c r="J67" s="29">
        <v>2400</v>
      </c>
      <c r="K67" s="12">
        <f t="shared" si="1"/>
        <v>114.28571428571429</v>
      </c>
      <c r="L67" s="312">
        <v>21</v>
      </c>
      <c r="M67" s="13">
        <f t="shared" si="46"/>
        <v>2288.1203007518798</v>
      </c>
      <c r="N67" s="12">
        <f t="shared" si="3"/>
        <v>108.95810955961332</v>
      </c>
      <c r="O67" s="14">
        <f t="shared" si="4"/>
        <v>0</v>
      </c>
      <c r="P67" s="15">
        <f t="shared" si="5"/>
        <v>-5.3276047261009722</v>
      </c>
      <c r="Q67" s="308">
        <f t="shared" si="6"/>
        <v>0.95338345864661644</v>
      </c>
      <c r="R67" s="616"/>
      <c r="S67" s="32">
        <v>0.33333333333333326</v>
      </c>
      <c r="T67" s="32">
        <v>0.42569444444444438</v>
      </c>
      <c r="U67" s="307">
        <f t="shared" si="48"/>
        <v>4.9999999999999822</v>
      </c>
      <c r="V67" s="313">
        <f t="shared" si="47"/>
        <v>133</v>
      </c>
      <c r="W67" s="16"/>
      <c r="X67" s="16"/>
      <c r="Y67" s="16"/>
      <c r="Z67" s="16"/>
      <c r="AA67" s="612"/>
      <c r="AB67" s="612"/>
      <c r="AC67" s="18"/>
      <c r="AD67" s="18"/>
      <c r="AE67" s="14">
        <f t="shared" si="43"/>
        <v>-111.87969924812023</v>
      </c>
      <c r="AF67" s="308">
        <f t="shared" si="9"/>
        <v>0.95338345864661656</v>
      </c>
      <c r="AG67" s="616"/>
    </row>
    <row r="68" spans="1:33" ht="15.75" customHeight="1">
      <c r="A68" s="614" t="s">
        <v>1556</v>
      </c>
      <c r="B68" s="314" t="s">
        <v>20</v>
      </c>
      <c r="C68" s="660" t="s">
        <v>1420</v>
      </c>
      <c r="D68" s="660"/>
      <c r="E68" s="27">
        <v>24.25</v>
      </c>
      <c r="F68" s="314">
        <v>4100</v>
      </c>
      <c r="G68" s="307">
        <f t="shared" si="45"/>
        <v>99425</v>
      </c>
      <c r="H68" s="31">
        <v>2</v>
      </c>
      <c r="I68" s="312">
        <v>17</v>
      </c>
      <c r="J68" s="29">
        <v>2400</v>
      </c>
      <c r="K68" s="12">
        <f t="shared" si="1"/>
        <v>141.1764705882353</v>
      </c>
      <c r="L68" s="312">
        <v>17</v>
      </c>
      <c r="M68" s="13">
        <f t="shared" si="46"/>
        <v>2299.0654205607489</v>
      </c>
      <c r="N68" s="12">
        <f t="shared" si="3"/>
        <v>135.23914238592641</v>
      </c>
      <c r="O68" s="14">
        <f t="shared" si="4"/>
        <v>0</v>
      </c>
      <c r="P68" s="15">
        <f t="shared" si="5"/>
        <v>-5.9373282023088905</v>
      </c>
      <c r="Q68" s="308">
        <f t="shared" si="6"/>
        <v>0.95794392523364535</v>
      </c>
      <c r="R68" s="616"/>
      <c r="S68" s="32">
        <v>0.42916666666666659</v>
      </c>
      <c r="T68" s="32">
        <v>0.5034722222222221</v>
      </c>
      <c r="U68" s="307">
        <f t="shared" si="48"/>
        <v>4.9999999999999822</v>
      </c>
      <c r="V68" s="313">
        <f t="shared" si="47"/>
        <v>106.99999999999994</v>
      </c>
      <c r="W68" s="16">
        <f>T68</f>
        <v>0.5034722222222221</v>
      </c>
      <c r="X68" s="16">
        <f>S69</f>
        <v>0.54513888888888873</v>
      </c>
      <c r="Y68" s="16"/>
      <c r="Z68" s="16"/>
      <c r="AA68" s="612"/>
      <c r="AB68" s="612"/>
      <c r="AC68" s="18"/>
      <c r="AD68" s="18"/>
      <c r="AE68" s="14">
        <f t="shared" si="43"/>
        <v>-100.93457943925114</v>
      </c>
      <c r="AF68" s="308">
        <f t="shared" si="9"/>
        <v>0.95794392523364535</v>
      </c>
      <c r="AG68" s="616"/>
    </row>
    <row r="69" spans="1:33" ht="15.75" customHeight="1">
      <c r="A69" s="614" t="s">
        <v>1556</v>
      </c>
      <c r="B69" s="314" t="s">
        <v>20</v>
      </c>
      <c r="C69" s="660" t="s">
        <v>39</v>
      </c>
      <c r="D69" s="660"/>
      <c r="E69" s="27">
        <v>19.02</v>
      </c>
      <c r="F69" s="314">
        <v>3794</v>
      </c>
      <c r="G69" s="307">
        <f t="shared" si="45"/>
        <v>72161.88</v>
      </c>
      <c r="H69" s="31" t="s">
        <v>40</v>
      </c>
      <c r="I69" s="312">
        <v>14</v>
      </c>
      <c r="J69" s="29">
        <v>2400</v>
      </c>
      <c r="K69" s="12">
        <f t="shared" ref="K69:K71" si="49">J69/I69</f>
        <v>171.42857142857142</v>
      </c>
      <c r="L69" s="312">
        <v>14</v>
      </c>
      <c r="M69" s="13">
        <f t="shared" si="46"/>
        <v>2299.3939393939363</v>
      </c>
      <c r="N69" s="12">
        <f t="shared" ref="N69:N71" si="50">M69/L69</f>
        <v>164.24242424242402</v>
      </c>
      <c r="O69" s="14">
        <f t="shared" ref="O69:O71" si="51">L69-I69</f>
        <v>0</v>
      </c>
      <c r="P69" s="15">
        <f t="shared" ref="P69:P71" si="52">N69-K69</f>
        <v>-7.1861471861473945</v>
      </c>
      <c r="Q69" s="308">
        <f t="shared" ref="Q69:Q71" si="53">N69/K69</f>
        <v>0.95808080808080687</v>
      </c>
      <c r="R69" s="616"/>
      <c r="S69" s="32">
        <v>0.54513888888888873</v>
      </c>
      <c r="T69" s="32">
        <v>0.61388888888888882</v>
      </c>
      <c r="U69" s="307">
        <f t="shared" si="48"/>
        <v>59.999999999999943</v>
      </c>
      <c r="V69" s="313">
        <f t="shared" si="47"/>
        <v>99.000000000000128</v>
      </c>
      <c r="W69" s="16"/>
      <c r="X69" s="16"/>
      <c r="Y69" s="16"/>
      <c r="Z69" s="16"/>
      <c r="AA69" s="612"/>
      <c r="AB69" s="612"/>
      <c r="AC69" s="18"/>
      <c r="AD69" s="18"/>
      <c r="AE69" s="14">
        <f t="shared" si="43"/>
        <v>-100.60606060606369</v>
      </c>
      <c r="AF69" s="308">
        <f t="shared" ref="AF69:AF71" si="54">M69/J69</f>
        <v>0.95808080808080676</v>
      </c>
      <c r="AG69" s="616"/>
    </row>
    <row r="70" spans="1:33" ht="15.75" customHeight="1">
      <c r="A70" s="614" t="s">
        <v>1556</v>
      </c>
      <c r="B70" s="314" t="s">
        <v>20</v>
      </c>
      <c r="C70" s="605" t="s">
        <v>1420</v>
      </c>
      <c r="D70" s="606"/>
      <c r="E70" s="27">
        <v>24.25</v>
      </c>
      <c r="F70" s="314">
        <v>2974</v>
      </c>
      <c r="G70" s="307">
        <f t="shared" si="45"/>
        <v>72119.5</v>
      </c>
      <c r="H70" s="31" t="s">
        <v>40</v>
      </c>
      <c r="I70" s="312">
        <v>17</v>
      </c>
      <c r="J70" s="29">
        <v>2400</v>
      </c>
      <c r="K70" s="12">
        <f t="shared" si="49"/>
        <v>141.1764705882353</v>
      </c>
      <c r="L70" s="312">
        <v>17</v>
      </c>
      <c r="M70" s="13">
        <f t="shared" si="46"/>
        <v>2287.6923076923067</v>
      </c>
      <c r="N70" s="12">
        <f t="shared" si="50"/>
        <v>134.57013574660627</v>
      </c>
      <c r="O70" s="14">
        <f t="shared" si="51"/>
        <v>0</v>
      </c>
      <c r="P70" s="15">
        <f t="shared" si="52"/>
        <v>-6.6063348416290353</v>
      </c>
      <c r="Q70" s="308">
        <f t="shared" si="53"/>
        <v>0.95320512820512771</v>
      </c>
      <c r="R70" s="616"/>
      <c r="S70" s="32">
        <v>0.61944444444444446</v>
      </c>
      <c r="T70" s="32">
        <v>0.67361111111111116</v>
      </c>
      <c r="U70" s="307">
        <f t="shared" si="48"/>
        <v>8.0000000000001315</v>
      </c>
      <c r="V70" s="313">
        <f t="shared" si="47"/>
        <v>78.000000000000043</v>
      </c>
      <c r="W70" s="16"/>
      <c r="X70" s="16"/>
      <c r="Y70" s="19"/>
      <c r="Z70" s="19"/>
      <c r="AA70" s="607"/>
      <c r="AB70" s="608"/>
      <c r="AC70" s="18"/>
      <c r="AD70" s="18"/>
      <c r="AE70" s="14">
        <f t="shared" si="43"/>
        <v>-112.30769230769329</v>
      </c>
      <c r="AF70" s="308">
        <f t="shared" si="54"/>
        <v>0.95320512820512782</v>
      </c>
      <c r="AG70" s="616"/>
    </row>
    <row r="71" spans="1:33" ht="16.5" customHeight="1">
      <c r="A71" s="615" t="s">
        <v>1556</v>
      </c>
      <c r="B71" s="27" t="s">
        <v>1542</v>
      </c>
      <c r="C71" s="609"/>
      <c r="D71" s="610"/>
      <c r="E71" s="309"/>
      <c r="F71" s="28"/>
      <c r="G71" s="12"/>
      <c r="H71" s="314"/>
      <c r="I71" s="21">
        <v>16.714285714285715</v>
      </c>
      <c r="J71" s="29">
        <v>2400</v>
      </c>
      <c r="K71" s="12">
        <f t="shared" si="49"/>
        <v>143.58974358974359</v>
      </c>
      <c r="L71" s="21">
        <v>16.714285714285715</v>
      </c>
      <c r="M71" s="13">
        <f>AVERAGE(M64:M70)</f>
        <v>2294.8852122060298</v>
      </c>
      <c r="N71" s="12">
        <f t="shared" si="50"/>
        <v>137.30082466189921</v>
      </c>
      <c r="O71" s="14">
        <f t="shared" si="51"/>
        <v>0</v>
      </c>
      <c r="P71" s="15">
        <f t="shared" si="52"/>
        <v>-6.288918927844378</v>
      </c>
      <c r="Q71" s="308">
        <f t="shared" si="53"/>
        <v>0.95620217175251232</v>
      </c>
      <c r="R71" s="616"/>
      <c r="S71" s="32"/>
      <c r="T71" s="32"/>
      <c r="U71" s="12"/>
      <c r="V71" s="313"/>
      <c r="W71" s="12"/>
      <c r="X71" s="12"/>
      <c r="Y71" s="22">
        <f>SUM(Y64:Y70)</f>
        <v>0</v>
      </c>
      <c r="Z71" s="22">
        <f>SUM(Z64:Z70)</f>
        <v>0</v>
      </c>
      <c r="AA71" s="611"/>
      <c r="AB71" s="611"/>
      <c r="AC71" s="22">
        <v>7</v>
      </c>
      <c r="AD71" s="22">
        <f>SUM(AD64:AD70)</f>
        <v>0</v>
      </c>
      <c r="AE71" s="14">
        <f t="shared" si="43"/>
        <v>-105.11478779397021</v>
      </c>
      <c r="AF71" s="308">
        <f t="shared" si="54"/>
        <v>0.95620217175251243</v>
      </c>
      <c r="AG71" s="616"/>
    </row>
    <row r="72" spans="1:33">
      <c r="D72" s="23"/>
      <c r="E72" s="23"/>
    </row>
  </sheetData>
  <mergeCells count="191">
    <mergeCell ref="A64:A71"/>
    <mergeCell ref="C64:D64"/>
    <mergeCell ref="R64:R71"/>
    <mergeCell ref="AA64:AB64"/>
    <mergeCell ref="AG64:AG71"/>
    <mergeCell ref="C65:D65"/>
    <mergeCell ref="AA65:AB65"/>
    <mergeCell ref="C66:D66"/>
    <mergeCell ref="AA66:AB66"/>
    <mergeCell ref="C67:D67"/>
    <mergeCell ref="C71:D71"/>
    <mergeCell ref="AA71:AB71"/>
    <mergeCell ref="AA67:AB67"/>
    <mergeCell ref="C68:D68"/>
    <mergeCell ref="AA68:AB68"/>
    <mergeCell ref="C69:D69"/>
    <mergeCell ref="AA69:AB69"/>
    <mergeCell ref="C70:D70"/>
    <mergeCell ref="AA70:AB70"/>
    <mergeCell ref="AG59:AG63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59:A63"/>
    <mergeCell ref="C59:D59"/>
    <mergeCell ref="R59:R63"/>
    <mergeCell ref="AA59:AB59"/>
    <mergeCell ref="AA54:AB54"/>
    <mergeCell ref="C55:D55"/>
    <mergeCell ref="AA55:AB55"/>
    <mergeCell ref="C56:D56"/>
    <mergeCell ref="AA56:AB56"/>
    <mergeCell ref="C57:D57"/>
    <mergeCell ref="AA57:AB57"/>
    <mergeCell ref="A50:A58"/>
    <mergeCell ref="C50:D50"/>
    <mergeCell ref="R50:R58"/>
    <mergeCell ref="AA50:AB50"/>
    <mergeCell ref="AG50:AG58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8:D58"/>
    <mergeCell ref="AA58:AB58"/>
    <mergeCell ref="A45:A49"/>
    <mergeCell ref="C45:D45"/>
    <mergeCell ref="R45:R49"/>
    <mergeCell ref="AA45:AB45"/>
    <mergeCell ref="C40:D40"/>
    <mergeCell ref="AA40:AB40"/>
    <mergeCell ref="C41:D41"/>
    <mergeCell ref="AA41:AB41"/>
    <mergeCell ref="C42:D42"/>
    <mergeCell ref="AA42:AB42"/>
    <mergeCell ref="A37:A44"/>
    <mergeCell ref="C37:D37"/>
    <mergeCell ref="R37:R44"/>
    <mergeCell ref="AA37:AB37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G37:AG44"/>
    <mergeCell ref="C38:D38"/>
    <mergeCell ref="AA38:AB38"/>
    <mergeCell ref="C39:D39"/>
    <mergeCell ref="AA39:AB39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A35:AB35"/>
    <mergeCell ref="C36:D36"/>
    <mergeCell ref="AA36:AB36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1:D21"/>
    <mergeCell ref="AA21:AB21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</mergeCells>
  <phoneticPr fontId="3" type="noConversion"/>
  <conditionalFormatting sqref="O62:O69 O58:O59 O71 O5:O8 O13:O15 O21:O55">
    <cfRule type="cellIs" dxfId="1075" priority="56" operator="greaterThan">
      <formula>0</formula>
    </cfRule>
  </conditionalFormatting>
  <conditionalFormatting sqref="P5:P6 P62 AE62 P64:P69 P29:P35 P59 P8 P13:P15 P22:P27 P50:P55 P37:P48 AE5:AE59 AE64:AE71">
    <cfRule type="cellIs" dxfId="1074" priority="60" operator="lessThan">
      <formula>0</formula>
    </cfRule>
  </conditionalFormatting>
  <conditionalFormatting sqref="AF62 Q62:Q69 Q58:Q59 Q71 Q5:Q8 Q13:Q15 Q21:Q55 AF5:AF59 AF64:AF71">
    <cfRule type="cellIs" dxfId="1073" priority="57" operator="greaterThan">
      <formula>1</formula>
    </cfRule>
    <cfRule type="cellIs" dxfId="1072" priority="58" operator="lessThan">
      <formula>0.8</formula>
    </cfRule>
  </conditionalFormatting>
  <conditionalFormatting sqref="AG14:AG15 R14:R15 AG62 R62:R69 AG58:AG59 R58:R59 R71 AG5:AG8 R5:R8 AG21:AG55 R21:R55">
    <cfRule type="cellIs" dxfId="1071" priority="62" operator="lessThan">
      <formula>0.8</formula>
    </cfRule>
  </conditionalFormatting>
  <conditionalFormatting sqref="AG45">
    <cfRule type="cellIs" dxfId="1070" priority="64" operator="lessThan">
      <formula>0.8</formula>
    </cfRule>
  </conditionalFormatting>
  <conditionalFormatting sqref="AG22:AG27">
    <cfRule type="cellIs" dxfId="1069" priority="61" operator="lessThan">
      <formula>0.8</formula>
    </cfRule>
  </conditionalFormatting>
  <conditionalFormatting sqref="AG29">
    <cfRule type="cellIs" dxfId="1068" priority="63" operator="lessThan">
      <formula>0.8</formula>
    </cfRule>
  </conditionalFormatting>
  <conditionalFormatting sqref="AG37:AG43">
    <cfRule type="cellIs" dxfId="1067" priority="59" operator="lessThan">
      <formula>0.8</formula>
    </cfRule>
  </conditionalFormatting>
  <conditionalFormatting sqref="AE63">
    <cfRule type="cellIs" dxfId="1066" priority="55" operator="lessThan">
      <formula>0</formula>
    </cfRule>
  </conditionalFormatting>
  <conditionalFormatting sqref="AF63">
    <cfRule type="cellIs" dxfId="1065" priority="53" operator="greaterThan">
      <formula>1</formula>
    </cfRule>
    <cfRule type="cellIs" dxfId="1064" priority="54" operator="lessThan">
      <formula>0.8</formula>
    </cfRule>
  </conditionalFormatting>
  <conditionalFormatting sqref="O16:O17">
    <cfRule type="cellIs" dxfId="1063" priority="48" operator="greaterThan">
      <formula>0</formula>
    </cfRule>
  </conditionalFormatting>
  <conditionalFormatting sqref="P16:P17">
    <cfRule type="cellIs" dxfId="1062" priority="51" operator="lessThan">
      <formula>0</formula>
    </cfRule>
  </conditionalFormatting>
  <conditionalFormatting sqref="Q16:Q17">
    <cfRule type="cellIs" dxfId="1061" priority="49" operator="greaterThan">
      <formula>1</formula>
    </cfRule>
    <cfRule type="cellIs" dxfId="1060" priority="50" operator="lessThan">
      <formula>0.8</formula>
    </cfRule>
  </conditionalFormatting>
  <conditionalFormatting sqref="R16:R17 AG16:AG17">
    <cfRule type="cellIs" dxfId="1059" priority="52" operator="lessThan">
      <formula>0.8</formula>
    </cfRule>
  </conditionalFormatting>
  <conditionalFormatting sqref="O9:O12">
    <cfRule type="cellIs" dxfId="1058" priority="44" operator="greaterThan">
      <formula>0</formula>
    </cfRule>
  </conditionalFormatting>
  <conditionalFormatting sqref="P9:P12">
    <cfRule type="cellIs" dxfId="1057" priority="47" operator="lessThan">
      <formula>0</formula>
    </cfRule>
  </conditionalFormatting>
  <conditionalFormatting sqref="Q9:Q12">
    <cfRule type="cellIs" dxfId="1056" priority="45" operator="greaterThan">
      <formula>1</formula>
    </cfRule>
    <cfRule type="cellIs" dxfId="1055" priority="46" operator="lessThan">
      <formula>0.8</formula>
    </cfRule>
  </conditionalFormatting>
  <conditionalFormatting sqref="O56">
    <cfRule type="cellIs" dxfId="1054" priority="39" operator="greaterThan">
      <formula>0</formula>
    </cfRule>
  </conditionalFormatting>
  <conditionalFormatting sqref="P56">
    <cfRule type="cellIs" dxfId="1053" priority="42" operator="lessThan">
      <formula>0</formula>
    </cfRule>
  </conditionalFormatting>
  <conditionalFormatting sqref="Q56">
    <cfRule type="cellIs" dxfId="1052" priority="40" operator="greaterThan">
      <formula>1</formula>
    </cfRule>
    <cfRule type="cellIs" dxfId="1051" priority="41" operator="lessThan">
      <formula>0.8</formula>
    </cfRule>
  </conditionalFormatting>
  <conditionalFormatting sqref="R56 AG56">
    <cfRule type="cellIs" dxfId="1050" priority="43" operator="lessThan">
      <formula>0.8</formula>
    </cfRule>
  </conditionalFormatting>
  <conditionalFormatting sqref="O61">
    <cfRule type="cellIs" dxfId="1049" priority="34" operator="greaterThan">
      <formula>0</formula>
    </cfRule>
  </conditionalFormatting>
  <conditionalFormatting sqref="P61 AE61">
    <cfRule type="cellIs" dxfId="1048" priority="37" operator="lessThan">
      <formula>0</formula>
    </cfRule>
  </conditionalFormatting>
  <conditionalFormatting sqref="Q61 AF61">
    <cfRule type="cellIs" dxfId="1047" priority="35" operator="greaterThan">
      <formula>1</formula>
    </cfRule>
    <cfRule type="cellIs" dxfId="1046" priority="36" operator="lessThan">
      <formula>0.8</formula>
    </cfRule>
  </conditionalFormatting>
  <conditionalFormatting sqref="R61 AG61">
    <cfRule type="cellIs" dxfId="1045" priority="38" operator="lessThan">
      <formula>0.8</formula>
    </cfRule>
  </conditionalFormatting>
  <conditionalFormatting sqref="O70">
    <cfRule type="cellIs" dxfId="1044" priority="29" operator="greaterThan">
      <formula>0</formula>
    </cfRule>
  </conditionalFormatting>
  <conditionalFormatting sqref="P70">
    <cfRule type="cellIs" dxfId="1043" priority="32" operator="lessThan">
      <formula>0</formula>
    </cfRule>
  </conditionalFormatting>
  <conditionalFormatting sqref="Q70">
    <cfRule type="cellIs" dxfId="1042" priority="30" operator="greaterThan">
      <formula>1</formula>
    </cfRule>
    <cfRule type="cellIs" dxfId="1041" priority="31" operator="lessThan">
      <formula>0.8</formula>
    </cfRule>
  </conditionalFormatting>
  <conditionalFormatting sqref="R70">
    <cfRule type="cellIs" dxfId="1040" priority="33" operator="lessThan">
      <formula>0.8</formula>
    </cfRule>
  </conditionalFormatting>
  <conditionalFormatting sqref="O18:O19">
    <cfRule type="cellIs" dxfId="1039" priority="24" operator="greaterThan">
      <formula>0</formula>
    </cfRule>
  </conditionalFormatting>
  <conditionalFormatting sqref="P18:P19">
    <cfRule type="cellIs" dxfId="1038" priority="27" operator="lessThan">
      <formula>0</formula>
    </cfRule>
  </conditionalFormatting>
  <conditionalFormatting sqref="Q18:Q19">
    <cfRule type="cellIs" dxfId="1037" priority="25" operator="greaterThan">
      <formula>1</formula>
    </cfRule>
    <cfRule type="cellIs" dxfId="1036" priority="26" operator="lessThan">
      <formula>0.8</formula>
    </cfRule>
  </conditionalFormatting>
  <conditionalFormatting sqref="R18:R19 AG18:AG19">
    <cfRule type="cellIs" dxfId="1035" priority="28" operator="lessThan">
      <formula>0.8</formula>
    </cfRule>
  </conditionalFormatting>
  <conditionalFormatting sqref="O57">
    <cfRule type="cellIs" dxfId="1034" priority="19" operator="greaterThan">
      <formula>0</formula>
    </cfRule>
  </conditionalFormatting>
  <conditionalFormatting sqref="P57">
    <cfRule type="cellIs" dxfId="1033" priority="22" operator="lessThan">
      <formula>0</formula>
    </cfRule>
  </conditionalFormatting>
  <conditionalFormatting sqref="Q57">
    <cfRule type="cellIs" dxfId="1032" priority="20" operator="greaterThan">
      <formula>1</formula>
    </cfRule>
    <cfRule type="cellIs" dxfId="1031" priority="21" operator="lessThan">
      <formula>0.8</formula>
    </cfRule>
  </conditionalFormatting>
  <conditionalFormatting sqref="AG57 R57">
    <cfRule type="cellIs" dxfId="1030" priority="23" operator="lessThan">
      <formula>0.8</formula>
    </cfRule>
  </conditionalFormatting>
  <conditionalFormatting sqref="O60">
    <cfRule type="cellIs" dxfId="1029" priority="14" operator="greaterThan">
      <formula>0</formula>
    </cfRule>
  </conditionalFormatting>
  <conditionalFormatting sqref="P60 AE60">
    <cfRule type="cellIs" dxfId="1028" priority="17" operator="lessThan">
      <formula>0</formula>
    </cfRule>
  </conditionalFormatting>
  <conditionalFormatting sqref="Q60 AF60">
    <cfRule type="cellIs" dxfId="1027" priority="15" operator="greaterThan">
      <formula>1</formula>
    </cfRule>
    <cfRule type="cellIs" dxfId="1026" priority="16" operator="lessThan">
      <formula>0.8</formula>
    </cfRule>
  </conditionalFormatting>
  <conditionalFormatting sqref="R60 AG60">
    <cfRule type="cellIs" dxfId="1025" priority="18" operator="lessThan">
      <formula>0.8</formula>
    </cfRule>
  </conditionalFormatting>
  <conditionalFormatting sqref="O20">
    <cfRule type="cellIs" dxfId="1024" priority="9" operator="greaterThan">
      <formula>0</formula>
    </cfRule>
  </conditionalFormatting>
  <conditionalFormatting sqref="P20">
    <cfRule type="cellIs" dxfId="1023" priority="12" operator="lessThan">
      <formula>0</formula>
    </cfRule>
  </conditionalFormatting>
  <conditionalFormatting sqref="Q20">
    <cfRule type="cellIs" dxfId="1022" priority="10" operator="greaterThan">
      <formula>1</formula>
    </cfRule>
    <cfRule type="cellIs" dxfId="1021" priority="11" operator="lessThan">
      <formula>0.8</formula>
    </cfRule>
  </conditionalFormatting>
  <conditionalFormatting sqref="AG20 R20">
    <cfRule type="cellIs" dxfId="1020" priority="13" operator="lessThan">
      <formula>0.8</formula>
    </cfRule>
  </conditionalFormatting>
  <conditionalFormatting sqref="P7">
    <cfRule type="cellIs" dxfId="1019" priority="8" operator="lessThan">
      <formula>0</formula>
    </cfRule>
  </conditionalFormatting>
  <conditionalFormatting sqref="P21">
    <cfRule type="cellIs" dxfId="1018" priority="7" operator="lessThan">
      <formula>0</formula>
    </cfRule>
  </conditionalFormatting>
  <conditionalFormatting sqref="P28">
    <cfRule type="cellIs" dxfId="1017" priority="6" operator="lessThan">
      <formula>0</formula>
    </cfRule>
  </conditionalFormatting>
  <conditionalFormatting sqref="P36">
    <cfRule type="cellIs" dxfId="1016" priority="5" operator="lessThan">
      <formula>0</formula>
    </cfRule>
  </conditionalFormatting>
  <conditionalFormatting sqref="P49">
    <cfRule type="cellIs" dxfId="1015" priority="4" operator="lessThan">
      <formula>0</formula>
    </cfRule>
  </conditionalFormatting>
  <conditionalFormatting sqref="P58">
    <cfRule type="cellIs" dxfId="1014" priority="3" operator="lessThan">
      <formula>0</formula>
    </cfRule>
  </conditionalFormatting>
  <conditionalFormatting sqref="P63">
    <cfRule type="cellIs" dxfId="1013" priority="2" operator="lessThan">
      <formula>0</formula>
    </cfRule>
  </conditionalFormatting>
  <conditionalFormatting sqref="P71">
    <cfRule type="cellIs" dxfId="1012" priority="1" operator="lessThan">
      <formula>0</formula>
    </cfRule>
  </conditionalFormatting>
  <dataValidations count="1">
    <dataValidation type="list" allowBlank="1" showInputMessage="1" showErrorMessage="1" sqref="AB7 AA5:AB6 AA7:AA62 AB9:AB59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3" sqref="O3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1421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85</v>
      </c>
      <c r="C3" s="594" t="str">
        <f>TEXT('0715 4度C'!A2,"yyyy.mm.ddaaaa")</f>
        <v>2026.07.15星期三</v>
      </c>
      <c r="D3" s="595"/>
      <c r="E3" s="36" t="s">
        <v>1422</v>
      </c>
      <c r="F3" s="596">
        <f>'0715 4度C'!D1</f>
        <v>182566</v>
      </c>
      <c r="G3" s="597"/>
      <c r="H3" s="36" t="s">
        <v>1423</v>
      </c>
      <c r="I3" s="598">
        <f>'0715 4度C'!F1</f>
        <v>6271486.3500000006</v>
      </c>
      <c r="J3" s="599"/>
      <c r="K3" s="37"/>
      <c r="L3" s="38"/>
      <c r="M3" s="39"/>
      <c r="N3" s="39"/>
    </row>
    <row r="4" spans="2:17" ht="28.5" customHeight="1">
      <c r="B4" s="600" t="s">
        <v>1424</v>
      </c>
      <c r="C4" s="586" t="s">
        <v>1425</v>
      </c>
      <c r="D4" s="587"/>
      <c r="E4" s="603" t="s">
        <v>1426</v>
      </c>
      <c r="F4" s="604"/>
      <c r="G4" s="603" t="s">
        <v>1427</v>
      </c>
      <c r="H4" s="604"/>
      <c r="I4" s="603" t="s">
        <v>1428</v>
      </c>
      <c r="J4" s="604"/>
      <c r="K4" s="584" t="s">
        <v>1429</v>
      </c>
      <c r="L4" s="585"/>
      <c r="M4" s="585" t="s">
        <v>1430</v>
      </c>
      <c r="N4" s="585"/>
    </row>
    <row r="5" spans="2:17" ht="28.5" customHeight="1">
      <c r="B5" s="601"/>
      <c r="C5" s="586" t="s">
        <v>1431</v>
      </c>
      <c r="D5" s="587"/>
      <c r="E5" s="586" t="s">
        <v>1432</v>
      </c>
      <c r="F5" s="587"/>
      <c r="G5" s="588" t="s">
        <v>1433</v>
      </c>
      <c r="H5" s="589"/>
      <c r="I5" s="590" t="s">
        <v>1434</v>
      </c>
      <c r="J5" s="591"/>
      <c r="K5" s="40" t="s">
        <v>1435</v>
      </c>
      <c r="L5" s="41" t="s">
        <v>1436</v>
      </c>
      <c r="M5" s="40" t="s">
        <v>1437</v>
      </c>
      <c r="N5" s="41" t="s">
        <v>1438</v>
      </c>
    </row>
    <row r="6" spans="2:17" ht="28.5" customHeight="1">
      <c r="B6" s="601"/>
      <c r="C6" s="586" t="s">
        <v>41</v>
      </c>
      <c r="D6" s="587"/>
      <c r="E6" s="578">
        <f>AVERAGE(D13:M13)</f>
        <v>157.35167938152441</v>
      </c>
      <c r="F6" s="579">
        <f>AVERAGE(D31:O31,D13:J13)</f>
        <v>166.68771542551698</v>
      </c>
      <c r="G6" s="580">
        <f>AVERAGE(D13:J13)</f>
        <v>166.68771542551698</v>
      </c>
      <c r="H6" s="581"/>
      <c r="I6" s="580">
        <f>AVERAGE(K13:M13)</f>
        <v>135.56759527887496</v>
      </c>
      <c r="J6" s="581"/>
      <c r="K6" s="582">
        <f>'0715 4度C'!Y2</f>
        <v>0</v>
      </c>
      <c r="L6" s="567">
        <f>'0715 4度C'!Z2</f>
        <v>0</v>
      </c>
      <c r="M6" s="583">
        <f>'0715 4度C'!AC2</f>
        <v>61</v>
      </c>
      <c r="N6" s="567">
        <f>'0715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150.69776471207626</v>
      </c>
      <c r="F7" s="571">
        <f>AVERAGE(D32:O32,D14:J14)</f>
        <v>159.78082546875174</v>
      </c>
      <c r="G7" s="572">
        <f>AVERAGE(D14:J14)</f>
        <v>159.78082546875174</v>
      </c>
      <c r="H7" s="573"/>
      <c r="I7" s="572">
        <f>AVERAGE(K14:M14)</f>
        <v>129.50395627983355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0.95748429964058346</v>
      </c>
      <c r="F8" s="575">
        <f>AVERAGE(D15:J15,D33:O33)</f>
        <v>0.9584310451770307</v>
      </c>
      <c r="G8" s="576">
        <f>AVERAGE(D15:J15)</f>
        <v>0.9584310451770307</v>
      </c>
      <c r="H8" s="577"/>
      <c r="I8" s="576">
        <f>AVERAGE(K15:M15)</f>
        <v>0.95527522672220699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1439</v>
      </c>
      <c r="N9" s="39"/>
      <c r="O9" s="39"/>
      <c r="P9" s="39"/>
      <c r="Q9" s="39"/>
    </row>
    <row r="10" spans="2:17" ht="30" customHeight="1">
      <c r="B10" s="550" t="s">
        <v>1440</v>
      </c>
      <c r="C10" s="551"/>
      <c r="D10" s="552" t="s">
        <v>1441</v>
      </c>
      <c r="E10" s="553"/>
      <c r="F10" s="553"/>
      <c r="G10" s="553"/>
      <c r="H10" s="553"/>
      <c r="I10" s="553"/>
      <c r="J10" s="554"/>
      <c r="K10" s="555" t="s">
        <v>1442</v>
      </c>
      <c r="L10" s="556"/>
      <c r="M10" s="557"/>
      <c r="P10" s="45"/>
      <c r="Q10" s="45"/>
    </row>
    <row r="11" spans="2:17" ht="17.25" customHeight="1">
      <c r="B11" s="558" t="s">
        <v>1443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1444</v>
      </c>
      <c r="C13" s="52" t="s">
        <v>1445</v>
      </c>
      <c r="D13" s="53">
        <f>SUMIFS('0715 4度C'!$K:$K,'0715 4度C'!$A:$A,"新豐6線",'0715 4度C'!$B:$B,"平均")</f>
        <v>129.03225806451613</v>
      </c>
      <c r="E13" s="54">
        <f>SUMIFS('0715 4度C'!$K:$K,'0715 4度C'!$A:$A,"新豐2線",'0715 4度C'!$B:$B,"平均")</f>
        <v>88.235294117647058</v>
      </c>
      <c r="F13" s="55">
        <f>SUMIFS('0715 4度C'!$K:$K,'0715 4度C'!$A:$A,"新豐5線",'0715 4度C'!$B:$B,"平均")</f>
        <v>93.75</v>
      </c>
      <c r="G13" s="55">
        <f>SUMIFS('0715 4度C'!$K:$K,'0715 4度C'!$A:$A,"新豐7線",'0715 4度C'!$B:$B,"平均")</f>
        <v>126.12612612612612</v>
      </c>
      <c r="H13" s="55">
        <f>SUMIFS('0715 4度C'!$K:$K,'0715 4度C'!$A:$A,"新豐3線",'0715 4度C'!$B:$B,"平均")</f>
        <v>307.69230769230768</v>
      </c>
      <c r="I13" s="55">
        <f>SUMIFS('0715 4度C'!$K:$K,'0715 4度C'!$A:$A,"新豐1線",'0715 4度C'!$B:$B,"平均")</f>
        <v>114.28571428571429</v>
      </c>
      <c r="J13" s="56">
        <f>SUMIFS('0715 4度C'!$K:$K,'0715 4度C'!$A:$A,"新豐10線",'0715 4度C'!$B:$B,"平均")</f>
        <v>307.69230769230768</v>
      </c>
      <c r="K13" s="57">
        <f>SUMIFS('0715 4度C'!$K:$K,'0715 4度C'!$A:$A,"新豐8線",'0715 4度C'!$B:$B,"平均")</f>
        <v>137.70491803278691</v>
      </c>
      <c r="L13" s="58">
        <f>SUMIFS('0715 4度C'!$K:$K,'0715 4度C'!$A:$A,"新豐9線",'0715 4度C'!$B:$B,"平均")</f>
        <v>125.71428571428571</v>
      </c>
      <c r="M13" s="56">
        <f>SUMIFS('0715 4度C'!$K:$K,'0715 4度C'!$A:$A,"新豐4線",'0715 4度C'!$B:$B,"平均")</f>
        <v>143.28358208955223</v>
      </c>
    </row>
    <row r="14" spans="2:17" ht="39.6" customHeight="1">
      <c r="B14" s="563"/>
      <c r="C14" s="59" t="s">
        <v>1446</v>
      </c>
      <c r="D14" s="60">
        <f>SUMIFS('0715 4度C'!$N:$N,'0715 4度C'!$A:$A,"新豐6線",'0715 4度C'!$B:$B,"平均")</f>
        <v>123.88709677419349</v>
      </c>
      <c r="E14" s="61">
        <f>SUMIFS('0715 4度C'!$N:$N,'0715 4度C'!$A:$A,"新豐2線",'0715 4度C'!$B:$B,"平均")</f>
        <v>84.294166452392659</v>
      </c>
      <c r="F14" s="61">
        <f>SUMIFS('0715 4度C'!$N:$N,'0715 4度C'!$A:$A,"新豐5線",'0715 4度C'!$B:$B,"平均")</f>
        <v>89.903123307203131</v>
      </c>
      <c r="G14" s="61">
        <f>SUMIFS('0715 4度C'!$N:$N,'0715 4度C'!$A:$A,"新豐7線",'0715 4度C'!$B:$B,"平均")</f>
        <v>120.99160903802208</v>
      </c>
      <c r="H14" s="61">
        <f>SUMIFS('0715 4度C'!$N:$N,'0715 4度C'!$A:$A,"新豐3線",'0715 4度C'!$B:$B,"平均")</f>
        <v>294.73552360122227</v>
      </c>
      <c r="I14" s="61">
        <f>SUMIFS('0715 4度C'!$N:$N,'0715 4度C'!$A:$A,"新豐1線",'0715 4度C'!$B:$B,"平均")</f>
        <v>109.50624960857041</v>
      </c>
      <c r="J14" s="62">
        <f>SUMIFS('0715 4度C'!$N:$N,'0715 4度C'!$A:$A,"新豐10線",'0715 4度C'!$B:$B,"平均")</f>
        <v>295.14800949965797</v>
      </c>
      <c r="K14" s="63">
        <f>SUMIFS('0715 4度C'!$N:$N,'0715 4度C'!$A:$A,"新豐8線",'0715 4度C'!$B:$B,"平均")</f>
        <v>131.36902452122018</v>
      </c>
      <c r="L14" s="64">
        <f>SUMIFS('0715 4度C'!$N:$N,'0715 4度C'!$A:$A,"新豐9線",'0715 4度C'!$B:$B,"平均")</f>
        <v>120.15185202669527</v>
      </c>
      <c r="M14" s="62">
        <f>SUMIFS('0715 4度C'!$N:$N,'0715 4度C'!$A:$A,"新豐4線",'0715 4度C'!$B:$B,"平均")</f>
        <v>136.99099229158517</v>
      </c>
    </row>
    <row r="15" spans="2:17" ht="40.15" customHeight="1">
      <c r="B15" s="564"/>
      <c r="C15" s="65" t="s">
        <v>1447</v>
      </c>
      <c r="D15" s="66">
        <f t="shared" ref="D15:M15" si="0">D14/D13</f>
        <v>0.96012499999999956</v>
      </c>
      <c r="E15" s="67">
        <f t="shared" si="0"/>
        <v>0.95533388646045014</v>
      </c>
      <c r="F15" s="67">
        <f t="shared" si="0"/>
        <v>0.95896664861016678</v>
      </c>
      <c r="G15" s="67">
        <f t="shared" si="0"/>
        <v>0.95929061451574649</v>
      </c>
      <c r="H15" s="67">
        <f t="shared" si="0"/>
        <v>0.95789045170397247</v>
      </c>
      <c r="I15" s="67">
        <f t="shared" si="0"/>
        <v>0.9581796840749911</v>
      </c>
      <c r="J15" s="68">
        <f t="shared" si="0"/>
        <v>0.9592310308738885</v>
      </c>
      <c r="K15" s="66">
        <f t="shared" si="0"/>
        <v>0.95398934473743213</v>
      </c>
      <c r="L15" s="67">
        <f t="shared" si="0"/>
        <v>0.95575336839416691</v>
      </c>
      <c r="M15" s="68">
        <f t="shared" si="0"/>
        <v>0.9560829670350216</v>
      </c>
    </row>
    <row r="16" spans="2:17" ht="17.25" customHeight="1">
      <c r="B16" s="565" t="s">
        <v>1448</v>
      </c>
      <c r="C16" s="69" t="s">
        <v>1449</v>
      </c>
      <c r="D16" s="70">
        <f>VLOOKUP("新豐6線",'0715 4度C'!$A:$T,19,0)</f>
        <v>0.70833333333333337</v>
      </c>
      <c r="E16" s="71">
        <f>VLOOKUP("新豐2線",'0715 4度C'!$A:$T,19,0)</f>
        <v>8.3333333333333329E-2</v>
      </c>
      <c r="F16" s="71">
        <f>VLOOKUP("新豐5線",'0715 4度C'!$A:$T,19,0)</f>
        <v>8.3333333333333329E-2</v>
      </c>
      <c r="G16" s="71">
        <f>VLOOKUP("新豐7線",'0715 4度C'!$A:$T,19,0)</f>
        <v>0.20833333333333334</v>
      </c>
      <c r="H16" s="71">
        <f>VLOOKUP("新豐3線",'0715 4度C'!$A:$T,19,0)</f>
        <v>0.20833333333333334</v>
      </c>
      <c r="I16" s="71">
        <f>VLOOKUP("新豐1線",'0715 4度C'!$A:$T,19,0)</f>
        <v>0.20833333333333334</v>
      </c>
      <c r="J16" s="72">
        <f>VLOOKUP("新豐10線",'0715 4度C'!$A:$T,19,0)</f>
        <v>0.20833333333333334</v>
      </c>
      <c r="K16" s="73">
        <f>VLOOKUP("新豐8線",'0715 4度C'!$A:$T,19,0)</f>
        <v>8.3333333333333329E-2</v>
      </c>
      <c r="L16" s="74">
        <f>VLOOKUP("新豐9線",'0715 4度C'!$A:$T,19,0)</f>
        <v>8.3333333333333329E-2</v>
      </c>
      <c r="M16" s="75">
        <f>VLOOKUP("新豐4線",'0715 4度C'!$A:$T,19,0)</f>
        <v>8.3333333333333329E-2</v>
      </c>
    </row>
    <row r="17" spans="2:13" ht="17.25" customHeight="1">
      <c r="B17" s="566"/>
      <c r="C17" s="69" t="s">
        <v>1450</v>
      </c>
      <c r="D17" s="73">
        <f>LOOKUP(2,1/(('0715 4度C'!$A:$A="新豐6線")*('0715 4度C'!$T:$T&lt;&gt;"")),'0715 4度C'!$T:$T)</f>
        <v>0.81944444444444453</v>
      </c>
      <c r="E17" s="71">
        <f>LOOKUP(2,1/(('0715 4度C'!$A:$A="新豐2線")*('0715 4度C'!$T:$T&lt;&gt;"")),'0715 4度C'!$T:$T)</f>
        <v>0.61736111111111103</v>
      </c>
      <c r="F17" s="71">
        <f>LOOKUP(2,1/(('0715 4度C'!$A:$A="新豐5線")*('0715 4度C'!$T:$T&lt;&gt;"")),'0715 4度C'!$T:$T)</f>
        <v>0.83750000000000002</v>
      </c>
      <c r="G17" s="71">
        <f>LOOKUP(2,1/(('0715 4度C'!$A:$A="新豐7線")*('0715 4度C'!$T:$T&lt;&gt;"")),'0715 4度C'!$T:$T)</f>
        <v>0.92361111111111116</v>
      </c>
      <c r="H17" s="71">
        <f>LOOKUP(2,1/(('0715 4度C'!$A:$A="新豐3線")*('0715 4度C'!$T:$T&lt;&gt;"")),'0715 4度C'!$T:$T)</f>
        <v>0.45069444444444445</v>
      </c>
      <c r="I17" s="71">
        <f>LOOKUP(2,1/(('0715 4度C'!$A:$A="新豐1線")*('0715 4度C'!$T:$T&lt;&gt;"")),'0715 4度C'!$T:$T)</f>
        <v>0.85416666666666663</v>
      </c>
      <c r="J17" s="72">
        <f>LOOKUP(2,1/(('0715 4度C'!$A:$A="新豐10線")*('0715 4度C'!$T:$T&lt;&gt;"")),'0715 4度C'!$T:$T)</f>
        <v>0.37986111111111104</v>
      </c>
      <c r="K17" s="70">
        <f>LOOKUP(2,1/(('0715 4度C'!$A:$A="新豐8線")*('0715 4度C'!$T:$T&lt;&gt;"")),'0715 4度C'!$T:$T)</f>
        <v>0.68194444444444435</v>
      </c>
      <c r="L17" s="71">
        <f>LOOKUP(2,1/(('0715 4度C'!$A:$A="新豐9線")*('0715 4度C'!$T:$T&lt;&gt;"")),'0715 4度C'!$T:$T)</f>
        <v>0.69374999999999987</v>
      </c>
      <c r="M17" s="72">
        <f>LOOKUP(2,1/(('0715 4度C'!$A:$A="新豐4線")*('0715 4度C'!$T:$T&lt;&gt;"")),'0715 4度C'!$T:$T)</f>
        <v>0.73124999999999996</v>
      </c>
    </row>
    <row r="18" spans="2:13" ht="17.25" customHeight="1">
      <c r="B18" s="544" t="s">
        <v>1451</v>
      </c>
      <c r="C18" s="76" t="s">
        <v>1452</v>
      </c>
      <c r="D18" s="77">
        <f>SUMIFS('0715 4度C'!$Y:$Y,'0715 4度C'!$A:$A,"新豐6線",'0715 4度C'!$B:$B,"平均")</f>
        <v>0</v>
      </c>
      <c r="E18" s="78">
        <f>SUMIFS('0715 4度C'!$Y:$Y,'0715 4度C'!$A:$A,"新豐2線",'0715 4度C'!$B:$B,"平均")</f>
        <v>0</v>
      </c>
      <c r="F18" s="78">
        <f>SUMIFS('0715 4度C'!$Y:$Y,'0715 4度C'!$A:$A,"新豐5線",'0715 4度C'!$B:$B,"平均")</f>
        <v>0</v>
      </c>
      <c r="G18" s="78">
        <f>SUMIFS('0715 4度C'!$Y:$Y,'0715 4度C'!$A:$A,"新豐7線",'0715 4度C'!$B:$B,"平均")</f>
        <v>0</v>
      </c>
      <c r="H18" s="78">
        <f>SUMIFS('0715 4度C'!$Y:$Y,'0715 4度C'!$A:$A,"新豐3線",'0715 4度C'!$B:$B,"平均")</f>
        <v>0</v>
      </c>
      <c r="I18" s="78">
        <f>SUMIFS('0715 4度C'!$Y:$Y,'0715 4度C'!$A:$A,"新豐1線",'0715 4度C'!$B:$B,"平均")</f>
        <v>0</v>
      </c>
      <c r="J18" s="79">
        <f>SUMIFS('0715 4度C'!$Y:$Y,'0715 4度C'!$A:$A,"新豐10線",'0715 4度C'!$B:$B,"平均")</f>
        <v>0</v>
      </c>
      <c r="K18" s="80">
        <f>SUMIFS('0715 4度C'!$Y:$Y,'0715 4度C'!$A:$A,"新豐8線",'0715 4度C'!$B:$B,"平均")</f>
        <v>0</v>
      </c>
      <c r="L18" s="78">
        <f>SUMIFS('0715 4度C'!$Y:$Y,'0715 4度C'!$A:$A,"新豐9線",'0715 4度C'!$B:$B,"平均")</f>
        <v>0</v>
      </c>
      <c r="M18" s="79">
        <f>SUMIFS('0715 4度C'!$Y:$Y,'0715 4度C'!$A:$A,"新豐4線",'0715 4度C'!$B:$B,"平均")</f>
        <v>0</v>
      </c>
    </row>
    <row r="19" spans="2:13" ht="17.25" customHeight="1">
      <c r="B19" s="545"/>
      <c r="C19" s="76" t="s">
        <v>1453</v>
      </c>
      <c r="D19" s="77">
        <f>SUMIFS('0715 4度C'!$Z:$Z,'0715 4度C'!$A:$A,"新豐6線",'0715 4度C'!$B:$B,"平均")</f>
        <v>0</v>
      </c>
      <c r="E19" s="78">
        <f>SUMIFS('0715 4度C'!$Z:$Z,'0715 4度C'!$A:$A,"新豐2線",'0715 4度C'!$B:$B,"平均")</f>
        <v>0</v>
      </c>
      <c r="F19" s="78">
        <f>SUMIFS('0715 4度C'!$Z:$Z,'0715 4度C'!$A:$A,"新豐5線",'0715 4度C'!$B:$B,"平均")</f>
        <v>0</v>
      </c>
      <c r="G19" s="78">
        <f>SUMIFS('0715 4度C'!$Z:$Z,'0715 4度C'!$A:$A,"新豐7線",'0715 4度C'!$B:$B,"平均")</f>
        <v>0</v>
      </c>
      <c r="H19" s="78">
        <f>SUMIFS('0715 4度C'!$Z:$Z,'0715 4度C'!$A:$A,"新豐3線",'0715 4度C'!$B:$B,"平均")</f>
        <v>0</v>
      </c>
      <c r="I19" s="78">
        <f>SUMIFS('0715 4度C'!$Z:$Z,'0715 4度C'!$A:$A,"新豐1線",'0715 4度C'!$B:$B,"平均")</f>
        <v>0</v>
      </c>
      <c r="J19" s="79">
        <f>SUMIFS('0715 4度C'!$Z:$Z,'0715 4度C'!$A:$A,"新豐10線",'0715 4度C'!$B:$B,"平均")</f>
        <v>0</v>
      </c>
      <c r="K19" s="80">
        <f>SUMIFS('0715 4度C'!$Z:$Z,'0715 4度C'!$A:$A,"新豐8線",'0715 4度C'!$B:$B,"平均")</f>
        <v>0</v>
      </c>
      <c r="L19" s="78">
        <f>SUMIFS('0715 4度C'!$Z:$Z,'0715 4度C'!$A:$A,"新豐9線",'0715 4度C'!$B:$B,"平均")</f>
        <v>0</v>
      </c>
      <c r="M19" s="79">
        <f>SUMIFS('0715 4度C'!$Z:$Z,'0715 4度C'!$A:$A,"新豐4線",'0715 4度C'!$B:$B,"平均")</f>
        <v>0</v>
      </c>
    </row>
    <row r="20" spans="2:13" ht="17.25" customHeight="1">
      <c r="B20" s="544" t="s">
        <v>1454</v>
      </c>
      <c r="C20" s="76" t="s">
        <v>1452</v>
      </c>
      <c r="D20" s="77">
        <f>SUMIFS('0715 4度C'!$AC:$AC,'0715 4度C'!$A:$A,"新豐6線",'0715 4度C'!$B:$B,"平均")</f>
        <v>2</v>
      </c>
      <c r="E20" s="78">
        <f>SUMIFS('0715 4度C'!$AC:$AC,'0715 4度C'!$A:$A,"新豐2線",'0715 4度C'!$B:$B,"平均")</f>
        <v>6</v>
      </c>
      <c r="F20" s="78">
        <f>SUMIFS('0715 4度C'!$AC:$AC,'0715 4度C'!$A:$A,"新豐5線",'0715 4度C'!$B:$B,"平均")</f>
        <v>7</v>
      </c>
      <c r="G20" s="78">
        <f>SUMIFS('0715 4度C'!$AC:$AC,'0715 4度C'!$A:$A,"新豐7線",'0715 4度C'!$B:$B,"平均")</f>
        <v>7</v>
      </c>
      <c r="H20" s="78">
        <f>SUMIFS('0715 4度C'!$AC:$AC,'0715 4度C'!$A:$A,"新豐3線",'0715 4度C'!$B:$B,"平均")</f>
        <v>4</v>
      </c>
      <c r="I20" s="78">
        <f>SUMIFS('0715 4度C'!$AC:$AC,'0715 4度C'!$A:$A,"新豐1線",'0715 4度C'!$B:$B,"平均")</f>
        <v>8</v>
      </c>
      <c r="J20" s="79">
        <f>SUMIFS('0715 4度C'!$AC:$AC,'0715 4度C'!$A:$A,"新豐10線",'0715 4度C'!$B:$B,"平均")</f>
        <v>4</v>
      </c>
      <c r="K20" s="80">
        <f>SUMIFS('0715 4度C'!$AC:$AC,'0715 4度C'!$A:$A,"新豐8線",'0715 4度C'!$B:$B,"平均")</f>
        <v>7</v>
      </c>
      <c r="L20" s="78">
        <f>SUMIFS('0715 4度C'!$AC:$AC,'0715 4度C'!$A:$A,"新豐9線",'0715 4度C'!$B:$B,"平均")</f>
        <v>8</v>
      </c>
      <c r="M20" s="79">
        <f>SUMIFS('0715 4度C'!$AC:$AC,'0715 4度C'!$A:$A,"新豐4線",'0715 4度C'!$B:$B,"平均")</f>
        <v>8</v>
      </c>
    </row>
    <row r="21" spans="2:13" ht="17.25" customHeight="1">
      <c r="B21" s="545"/>
      <c r="C21" s="76" t="s">
        <v>1455</v>
      </c>
      <c r="D21" s="77">
        <f>SUMIFS('0715 4度C'!$AD:$AD,'0715 4度C'!$A:$A,"新豐6線",'0715 4度C'!$B:$B,"平均")</f>
        <v>0</v>
      </c>
      <c r="E21" s="78">
        <f>SUMIFS('0715 4度C'!$AD:$AD,'0715 4度C'!$A:$A,"新豐2線",'0715 4度C'!$B:$B,"平均")</f>
        <v>0</v>
      </c>
      <c r="F21" s="78">
        <f>SUMIFS('0715 4度C'!$AD:$AD,'0715 4度C'!$A:$A,"新豐5線",'0715 4度C'!$B:$B,"平均")</f>
        <v>0</v>
      </c>
      <c r="G21" s="78">
        <f>SUMIFS('0715 4度C'!$AD:$AD,'0715 4度C'!$A:$A,"新豐7線",'0715 4度C'!$B:$B,"平均")</f>
        <v>0</v>
      </c>
      <c r="H21" s="78">
        <f>SUMIFS('0715 4度C'!$AD:$AD,'0715 4度C'!$A:$A,"新豐3線",'0715 4度C'!$B:$B,"平均")</f>
        <v>0</v>
      </c>
      <c r="I21" s="78">
        <f>SUMIFS('0715 4度C'!$AD:$AD,'0715 4度C'!$A:$A,"新豐1線",'0715 4度C'!$B:$B,"平均")</f>
        <v>0</v>
      </c>
      <c r="J21" s="79">
        <f>SUMIFS('0715 4度C'!$AD:$AD,'0715 4度C'!$A:$A,"新豐10線",'0715 4度C'!$B:$B,"平均")</f>
        <v>0</v>
      </c>
      <c r="K21" s="80">
        <f>SUMIFS('0715 4度C'!$AD:$AD,'0715 4度C'!$A:$A,"新豐8線",'0715 4度C'!$B:$B,"平均")</f>
        <v>0</v>
      </c>
      <c r="L21" s="78">
        <f>SUMIFS('0715 4度C'!$AD:$AD,'0715 4度C'!$A:$A,"新豐9線",'0715 4度C'!$B:$B,"平均")</f>
        <v>0</v>
      </c>
      <c r="M21" s="79">
        <f>SUMIFS('0715 4度C'!$AD:$AD,'0715 4度C'!$A:$A,"新豐4線",'0715 4度C'!$B:$B,"平均")</f>
        <v>0</v>
      </c>
    </row>
    <row r="22" spans="2:13" ht="17.25" customHeight="1">
      <c r="B22" s="546" t="s">
        <v>1456</v>
      </c>
      <c r="C22" s="547"/>
      <c r="D22" s="81">
        <f>SUMIFS('0715 4度C'!$I:$I,'0715 4度C'!$A:$A,"新豐6線",'0715 4度C'!$B:$B,"平均")</f>
        <v>15.5</v>
      </c>
      <c r="E22" s="82">
        <f>SUMIFS('0715 4度C'!$I:$I,'0715 4度C'!$A:$A,"新豐2線",'0715 4度C'!$B:$B,"平均")</f>
        <v>17</v>
      </c>
      <c r="F22" s="82">
        <f>SUMIFS('0715 4度C'!$I:$I,'0715 4度C'!$A:$A,"新豐5線",'0715 4度C'!$B:$B,"平均")</f>
        <v>18.285714285714285</v>
      </c>
      <c r="G22" s="82">
        <f>SUMIFS('0715 4度C'!$I:$I,'0715 4度C'!$A:$A,"新豐7線",'0715 4度C'!$B:$B,"平均")</f>
        <v>15.857142857142858</v>
      </c>
      <c r="H22" s="82">
        <f>SUMIFS('0715 4度C'!$I:$I,'0715 4度C'!$A:$A,"新豐3線",'0715 4度C'!$B:$B,"平均")</f>
        <v>9.75</v>
      </c>
      <c r="I22" s="82">
        <f>SUMIFS('0715 4度C'!$I:$I,'0715 4度C'!$A:$A,"新豐1線",'0715 4度C'!$B:$B,"平均")</f>
        <v>17.5</v>
      </c>
      <c r="J22" s="83">
        <f>SUMIFS('0715 4度C'!$I:$I,'0715 4度C'!$A:$A,"新豐10線",'0715 4度C'!$B:$B,"平均")</f>
        <v>9.75</v>
      </c>
      <c r="K22" s="81">
        <f>SUMIFS('0715 4度C'!$I:$I,'0715 4度C'!$A:$A,"新豐8線",'0715 4度C'!$B:$B,"平均")</f>
        <v>17.428571428571427</v>
      </c>
      <c r="L22" s="82">
        <f>SUMIFS('0715 4度C'!$I:$I,'0715 4度C'!$A:$A,"新豐9線",'0715 4度C'!$B:$B,"平均")</f>
        <v>17.5</v>
      </c>
      <c r="M22" s="83">
        <f>SUMIFS('0715 4度C'!$I:$I,'0715 4度C'!$A:$A,"新豐4線",'0715 4度C'!$B:$B,"平均")</f>
        <v>16.75</v>
      </c>
    </row>
    <row r="23" spans="2:13" ht="17.25" customHeight="1">
      <c r="B23" s="546" t="s">
        <v>1457</v>
      </c>
      <c r="C23" s="547"/>
      <c r="D23" s="84" t="s">
        <v>54</v>
      </c>
      <c r="E23" s="85" t="s">
        <v>55</v>
      </c>
      <c r="F23" s="85" t="s">
        <v>1458</v>
      </c>
      <c r="G23" s="85" t="s">
        <v>1458</v>
      </c>
      <c r="H23" s="85" t="s">
        <v>56</v>
      </c>
      <c r="I23" s="85" t="s">
        <v>54</v>
      </c>
      <c r="J23" s="86" t="s">
        <v>56</v>
      </c>
      <c r="K23" s="84" t="s">
        <v>1459</v>
      </c>
      <c r="L23" s="85" t="s">
        <v>1459</v>
      </c>
      <c r="M23" s="86" t="s">
        <v>1459</v>
      </c>
    </row>
    <row r="24" spans="2:13" ht="17.25" customHeight="1">
      <c r="B24" s="546" t="s">
        <v>1460</v>
      </c>
      <c r="C24" s="547"/>
      <c r="D24" s="84"/>
      <c r="E24" s="85"/>
      <c r="F24" s="85" t="s">
        <v>1461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1462</v>
      </c>
      <c r="C25" s="549"/>
      <c r="D25" s="87"/>
      <c r="E25" s="88" t="s">
        <v>1463</v>
      </c>
      <c r="F25" s="542" t="s">
        <v>1464</v>
      </c>
      <c r="G25" s="543"/>
      <c r="H25" s="88" t="s">
        <v>1465</v>
      </c>
      <c r="I25" s="88" t="s">
        <v>1466</v>
      </c>
      <c r="J25" s="89" t="s">
        <v>1465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P6" sqref="P6"/>
      <selection pane="bottomLeft" activeCell="P6" sqref="P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129</v>
      </c>
      <c r="B1" s="1"/>
      <c r="C1" s="2" t="s">
        <v>130</v>
      </c>
      <c r="D1" s="3">
        <f>SUM(F5:F75)</f>
        <v>182566</v>
      </c>
      <c r="E1" s="286" t="s">
        <v>131</v>
      </c>
      <c r="F1" s="1">
        <f>SUM(G5:G75)</f>
        <v>6271486.3500000006</v>
      </c>
      <c r="G1" s="1" t="s">
        <v>132</v>
      </c>
      <c r="H1" s="4">
        <f>L7+L14+L52+L61+L22+L66+L38+L47+L30+L75</f>
        <v>155.32142857142856</v>
      </c>
      <c r="I1" s="654" t="s">
        <v>133</v>
      </c>
      <c r="J1" s="654"/>
      <c r="K1" s="654"/>
      <c r="L1" s="654" t="s">
        <v>134</v>
      </c>
      <c r="M1" s="654"/>
      <c r="N1" s="654"/>
      <c r="O1" s="654" t="s">
        <v>135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137</v>
      </c>
      <c r="Z1" s="6" t="s">
        <v>138</v>
      </c>
      <c r="AA1" s="655" t="s">
        <v>139</v>
      </c>
      <c r="AB1" s="655"/>
      <c r="AC1" s="92" t="s">
        <v>137</v>
      </c>
      <c r="AD1" s="6" t="s">
        <v>140</v>
      </c>
      <c r="AE1" s="654" t="s">
        <v>141</v>
      </c>
      <c r="AF1" s="656"/>
      <c r="AG1" s="656"/>
    </row>
    <row r="2" spans="1:33" ht="26.25" customHeight="1">
      <c r="A2" s="25">
        <v>46218</v>
      </c>
      <c r="B2" s="26" t="s">
        <v>76</v>
      </c>
      <c r="C2" s="2" t="s">
        <v>107</v>
      </c>
      <c r="D2" s="8">
        <f>AVERAGE(N7,N14,N52,N61,N22,N66,N30,N38,N47,N75)</f>
        <v>150.69776471207626</v>
      </c>
      <c r="E2" s="9" t="s">
        <v>0</v>
      </c>
      <c r="F2" s="10">
        <f>F1/D1</f>
        <v>34.351885619447216</v>
      </c>
      <c r="G2" s="1" t="s">
        <v>143</v>
      </c>
      <c r="H2" s="300">
        <f>COUNT(H5:H75)</f>
        <v>11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SUM(Y7+Y14+Y22+Y30+Y38+Y47+Y52+Y61+Y66+Y75)</f>
        <v>0</v>
      </c>
      <c r="Z2" s="11">
        <f>SUM(Z7+Z14+Z22+Z30+Z38+Z47+Z52+Z61+Z66+Z75)</f>
        <v>0</v>
      </c>
      <c r="AA2" s="655"/>
      <c r="AB2" s="655"/>
      <c r="AC2" s="11">
        <f>SUM(AC7+AC14+AC22+AC30+AC38+AC47+AC52+AC61+AC66+AC75)</f>
        <v>61</v>
      </c>
      <c r="AD2" s="11">
        <f>SUM(AD7+AD14+AD22+AD30+AD38+AD47+AD52+AD61+AD66+AD75)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145</v>
      </c>
      <c r="C3" s="612" t="s">
        <v>146</v>
      </c>
      <c r="D3" s="612"/>
      <c r="E3" s="652" t="s">
        <v>147</v>
      </c>
      <c r="F3" s="612" t="s">
        <v>148</v>
      </c>
      <c r="G3" s="652" t="s">
        <v>149</v>
      </c>
      <c r="H3" s="645" t="s">
        <v>150</v>
      </c>
      <c r="I3" s="644" t="s">
        <v>78</v>
      </c>
      <c r="J3" s="641" t="s">
        <v>151</v>
      </c>
      <c r="K3" s="650" t="s">
        <v>107</v>
      </c>
      <c r="L3" s="644" t="s">
        <v>78</v>
      </c>
      <c r="M3" s="641" t="s">
        <v>151</v>
      </c>
      <c r="N3" s="650" t="s">
        <v>107</v>
      </c>
      <c r="O3" s="644" t="s">
        <v>78</v>
      </c>
      <c r="P3" s="650" t="s">
        <v>107</v>
      </c>
      <c r="Q3" s="642" t="s">
        <v>158</v>
      </c>
      <c r="R3" s="621" t="s">
        <v>159</v>
      </c>
      <c r="S3" s="651" t="s">
        <v>1</v>
      </c>
      <c r="T3" s="651"/>
      <c r="U3" s="645" t="s">
        <v>2</v>
      </c>
      <c r="V3" s="645" t="s">
        <v>1467</v>
      </c>
      <c r="W3" s="612" t="s">
        <v>161</v>
      </c>
      <c r="X3" s="612"/>
      <c r="Y3" s="646" t="s">
        <v>162</v>
      </c>
      <c r="Z3" s="611"/>
      <c r="AA3" s="647" t="s">
        <v>1468</v>
      </c>
      <c r="AB3" s="648"/>
      <c r="AC3" s="646" t="s">
        <v>164</v>
      </c>
      <c r="AD3" s="611"/>
      <c r="AE3" s="641" t="s">
        <v>1469</v>
      </c>
      <c r="AF3" s="642" t="s">
        <v>158</v>
      </c>
      <c r="AG3" s="621" t="s">
        <v>159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99" t="s">
        <v>3</v>
      </c>
      <c r="T4" s="299" t="s">
        <v>4</v>
      </c>
      <c r="U4" s="645"/>
      <c r="V4" s="645"/>
      <c r="W4" s="286" t="s">
        <v>1470</v>
      </c>
      <c r="X4" s="286" t="s">
        <v>167</v>
      </c>
      <c r="Y4" s="288" t="s">
        <v>68</v>
      </c>
      <c r="Z4" s="288" t="s">
        <v>1471</v>
      </c>
      <c r="AA4" s="649"/>
      <c r="AB4" s="648"/>
      <c r="AC4" s="288" t="s">
        <v>170</v>
      </c>
      <c r="AD4" s="288" t="s">
        <v>171</v>
      </c>
      <c r="AE4" s="641"/>
      <c r="AF4" s="642"/>
      <c r="AG4" s="621"/>
    </row>
    <row r="5" spans="1:33">
      <c r="A5" s="643" t="s">
        <v>1472</v>
      </c>
      <c r="B5" s="27" t="s">
        <v>5</v>
      </c>
      <c r="C5" s="657" t="s">
        <v>14</v>
      </c>
      <c r="D5" s="657"/>
      <c r="E5" s="27">
        <v>50.92</v>
      </c>
      <c r="F5" s="299">
        <v>2395</v>
      </c>
      <c r="G5" s="286">
        <f t="shared" ref="G5:G6" si="0">E5*F5</f>
        <v>121953.40000000001</v>
      </c>
      <c r="H5" s="31" t="s">
        <v>40</v>
      </c>
      <c r="I5" s="297">
        <v>15</v>
      </c>
      <c r="J5" s="29">
        <v>2000</v>
      </c>
      <c r="K5" s="12">
        <f t="shared" ref="K5:K68" si="1">J5/I5</f>
        <v>133.33333333333334</v>
      </c>
      <c r="L5" s="297">
        <v>15</v>
      </c>
      <c r="M5" s="13">
        <f t="shared" ref="M5:M6" si="2">F5/V5*60</f>
        <v>1915.9999999999986</v>
      </c>
      <c r="N5" s="12">
        <f t="shared" ref="N5:N68" si="3">M5/L5</f>
        <v>127.73333333333325</v>
      </c>
      <c r="O5" s="14">
        <f t="shared" ref="O5:O68" si="4">L5-I5</f>
        <v>0</v>
      </c>
      <c r="P5" s="15">
        <f t="shared" ref="P5:P68" si="5">N5-K5</f>
        <v>-5.6000000000000938</v>
      </c>
      <c r="Q5" s="289">
        <f t="shared" ref="Q5:Q68" si="6">N5/K5</f>
        <v>0.9579999999999993</v>
      </c>
      <c r="R5" s="616">
        <f>Q7</f>
        <v>0.96012499999999956</v>
      </c>
      <c r="S5" s="32">
        <v>0.70833333333333337</v>
      </c>
      <c r="T5" s="32">
        <v>0.76041666666666674</v>
      </c>
      <c r="U5" s="286"/>
      <c r="V5" s="298">
        <f t="shared" ref="V5:V6" si="7">(T5-S5)*24*60</f>
        <v>75.000000000000057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60" si="8">M5-J5</f>
        <v>-84.000000000001364</v>
      </c>
      <c r="AF5" s="289">
        <f t="shared" ref="AF5:AF68" si="9">M5/J5</f>
        <v>0.9579999999999993</v>
      </c>
      <c r="AG5" s="616">
        <f>AF7</f>
        <v>0.96012499999999956</v>
      </c>
    </row>
    <row r="6" spans="1:33">
      <c r="A6" s="644" t="s">
        <v>172</v>
      </c>
      <c r="B6" s="27" t="s">
        <v>5</v>
      </c>
      <c r="C6" s="657" t="s">
        <v>19</v>
      </c>
      <c r="D6" s="657"/>
      <c r="E6" s="27">
        <v>50.98</v>
      </c>
      <c r="F6" s="299">
        <v>2566</v>
      </c>
      <c r="G6" s="286">
        <f t="shared" si="0"/>
        <v>130814.68</v>
      </c>
      <c r="H6" s="31" t="s">
        <v>40</v>
      </c>
      <c r="I6" s="297">
        <v>16</v>
      </c>
      <c r="J6" s="29">
        <v>2000</v>
      </c>
      <c r="K6" s="12">
        <f t="shared" si="1"/>
        <v>125</v>
      </c>
      <c r="L6" s="297">
        <v>16</v>
      </c>
      <c r="M6" s="13">
        <f t="shared" si="2"/>
        <v>1924.4999999999993</v>
      </c>
      <c r="N6" s="12">
        <f t="shared" si="3"/>
        <v>120.28124999999996</v>
      </c>
      <c r="O6" s="14">
        <f t="shared" si="4"/>
        <v>0</v>
      </c>
      <c r="P6" s="15">
        <f t="shared" si="5"/>
        <v>-4.7187500000000426</v>
      </c>
      <c r="Q6" s="289">
        <f t="shared" si="6"/>
        <v>0.96224999999999961</v>
      </c>
      <c r="R6" s="616"/>
      <c r="S6" s="32">
        <v>0.76388888888888895</v>
      </c>
      <c r="T6" s="32">
        <v>0.81944444444444453</v>
      </c>
      <c r="U6" s="286">
        <f t="shared" ref="U6" si="10">IF(S6=TIME(17,0,0),"",(S6-T5)*24*60)</f>
        <v>4.9999999999999822</v>
      </c>
      <c r="V6" s="298">
        <f t="shared" si="7"/>
        <v>80.000000000000028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-75.500000000000682</v>
      </c>
      <c r="AF6" s="289">
        <f t="shared" si="9"/>
        <v>0.96224999999999961</v>
      </c>
      <c r="AG6" s="616"/>
    </row>
    <row r="7" spans="1:33">
      <c r="A7" s="644" t="s">
        <v>172</v>
      </c>
      <c r="B7" s="27" t="s">
        <v>70</v>
      </c>
      <c r="C7" s="658"/>
      <c r="D7" s="658"/>
      <c r="E7" s="290"/>
      <c r="F7" s="28"/>
      <c r="G7" s="12"/>
      <c r="H7" s="299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1920.2499999999991</v>
      </c>
      <c r="N7" s="12">
        <f t="shared" si="3"/>
        <v>123.88709677419349</v>
      </c>
      <c r="O7" s="14">
        <f t="shared" si="4"/>
        <v>0</v>
      </c>
      <c r="P7" s="15">
        <f t="shared" si="5"/>
        <v>-5.1451612903226334</v>
      </c>
      <c r="Q7" s="289">
        <f t="shared" si="6"/>
        <v>0.96012499999999956</v>
      </c>
      <c r="R7" s="616"/>
      <c r="S7" s="32"/>
      <c r="T7" s="32"/>
      <c r="U7" s="286"/>
      <c r="V7" s="29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-79.750000000000909</v>
      </c>
      <c r="AF7" s="289">
        <f t="shared" si="9"/>
        <v>0.96012499999999956</v>
      </c>
      <c r="AG7" s="616"/>
    </row>
    <row r="8" spans="1:33" ht="15.75" customHeight="1">
      <c r="A8" s="640" t="s">
        <v>1473</v>
      </c>
      <c r="B8" s="27" t="s">
        <v>8</v>
      </c>
      <c r="C8" s="638" t="s">
        <v>10</v>
      </c>
      <c r="D8" s="639"/>
      <c r="E8" s="27">
        <v>39.799999999999997</v>
      </c>
      <c r="F8" s="299">
        <v>3900</v>
      </c>
      <c r="G8" s="286">
        <f t="shared" ref="G8:G13" si="11">E8*F8</f>
        <v>155220</v>
      </c>
      <c r="H8" s="31">
        <v>2</v>
      </c>
      <c r="I8" s="297">
        <v>17</v>
      </c>
      <c r="J8" s="29">
        <v>1500</v>
      </c>
      <c r="K8" s="12">
        <f t="shared" si="1"/>
        <v>88.235294117647058</v>
      </c>
      <c r="L8" s="297">
        <v>17</v>
      </c>
      <c r="M8" s="13">
        <f t="shared" ref="M8:M13" si="12">F8/V8*60</f>
        <v>1426.8292682926831</v>
      </c>
      <c r="N8" s="12">
        <f t="shared" si="3"/>
        <v>83.931133428981354</v>
      </c>
      <c r="O8" s="14">
        <f t="shared" si="4"/>
        <v>0</v>
      </c>
      <c r="P8" s="15">
        <f t="shared" si="5"/>
        <v>-4.3041606886657036</v>
      </c>
      <c r="Q8" s="289">
        <f t="shared" si="6"/>
        <v>0.95121951219512202</v>
      </c>
      <c r="R8" s="616">
        <f>Q14</f>
        <v>0.95533388646045014</v>
      </c>
      <c r="S8" s="32">
        <v>8.3333333333333329E-2</v>
      </c>
      <c r="T8" s="32">
        <v>0.19722222222222222</v>
      </c>
      <c r="U8" s="286"/>
      <c r="V8" s="298">
        <f t="shared" ref="V8:V13" si="13">(T8-S8)*24*60</f>
        <v>164</v>
      </c>
      <c r="W8" s="16">
        <f>T8</f>
        <v>0.19722222222222222</v>
      </c>
      <c r="X8" s="16">
        <f>S9</f>
        <v>0.21805555555555556</v>
      </c>
      <c r="Y8" s="16"/>
      <c r="Z8" s="16"/>
      <c r="AA8" s="612"/>
      <c r="AB8" s="612"/>
      <c r="AC8" s="18">
        <v>6</v>
      </c>
      <c r="AD8" s="18"/>
      <c r="AE8" s="14">
        <f t="shared" si="8"/>
        <v>-73.170731707316918</v>
      </c>
      <c r="AF8" s="289">
        <f t="shared" si="9"/>
        <v>0.95121951219512202</v>
      </c>
      <c r="AG8" s="616">
        <f>AF14</f>
        <v>0.95533388646045003</v>
      </c>
    </row>
    <row r="9" spans="1:33" ht="15.75" customHeight="1">
      <c r="A9" s="640" t="s">
        <v>175</v>
      </c>
      <c r="B9" s="27" t="s">
        <v>8</v>
      </c>
      <c r="C9" s="638" t="s">
        <v>63</v>
      </c>
      <c r="D9" s="639"/>
      <c r="E9" s="27">
        <v>39.46</v>
      </c>
      <c r="F9" s="299">
        <v>2100</v>
      </c>
      <c r="G9" s="286">
        <f t="shared" si="11"/>
        <v>82866</v>
      </c>
      <c r="H9" s="31">
        <v>2</v>
      </c>
      <c r="I9" s="297">
        <v>15</v>
      </c>
      <c r="J9" s="29">
        <v>1500</v>
      </c>
      <c r="K9" s="12">
        <f t="shared" si="1"/>
        <v>100</v>
      </c>
      <c r="L9" s="297">
        <v>15</v>
      </c>
      <c r="M9" s="13">
        <f t="shared" si="12"/>
        <v>1431.8181818181818</v>
      </c>
      <c r="N9" s="12">
        <f t="shared" si="3"/>
        <v>95.454545454545453</v>
      </c>
      <c r="O9" s="14">
        <f t="shared" si="4"/>
        <v>0</v>
      </c>
      <c r="P9" s="15">
        <f t="shared" si="5"/>
        <v>-4.5454545454545467</v>
      </c>
      <c r="Q9" s="289">
        <f t="shared" si="6"/>
        <v>0.95454545454545459</v>
      </c>
      <c r="R9" s="616"/>
      <c r="S9" s="32">
        <v>0.21805555555555556</v>
      </c>
      <c r="T9" s="32">
        <v>0.27916666666666667</v>
      </c>
      <c r="U9" s="286">
        <f t="shared" ref="U9:U13" si="14">IF(S9=TIME(17,0,0),"",(S9-T8)*24*60)</f>
        <v>30.000000000000014</v>
      </c>
      <c r="V9" s="298">
        <f t="shared" si="13"/>
        <v>88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-68.181818181818244</v>
      </c>
      <c r="AF9" s="289">
        <f t="shared" si="9"/>
        <v>0.95454545454545447</v>
      </c>
      <c r="AG9" s="616"/>
    </row>
    <row r="10" spans="1:33" ht="15.75" customHeight="1">
      <c r="A10" s="640" t="s">
        <v>175</v>
      </c>
      <c r="B10" s="27" t="s">
        <v>8</v>
      </c>
      <c r="C10" s="638" t="s">
        <v>74</v>
      </c>
      <c r="D10" s="639"/>
      <c r="E10" s="27">
        <v>39.520000000000003</v>
      </c>
      <c r="F10" s="299">
        <v>2715</v>
      </c>
      <c r="G10" s="286">
        <f t="shared" si="11"/>
        <v>107296.8</v>
      </c>
      <c r="H10" s="31" t="s">
        <v>40</v>
      </c>
      <c r="I10" s="297">
        <v>19</v>
      </c>
      <c r="J10" s="29">
        <v>1500</v>
      </c>
      <c r="K10" s="12">
        <f t="shared" si="1"/>
        <v>78.94736842105263</v>
      </c>
      <c r="L10" s="297">
        <v>19</v>
      </c>
      <c r="M10" s="13">
        <f t="shared" si="12"/>
        <v>1428.9473684210525</v>
      </c>
      <c r="N10" s="12">
        <f t="shared" si="3"/>
        <v>75.207756232686975</v>
      </c>
      <c r="O10" s="14">
        <f t="shared" si="4"/>
        <v>0</v>
      </c>
      <c r="P10" s="15">
        <f t="shared" si="5"/>
        <v>-3.7396121883656548</v>
      </c>
      <c r="Q10" s="289">
        <f t="shared" si="6"/>
        <v>0.95263157894736838</v>
      </c>
      <c r="R10" s="616"/>
      <c r="S10" s="32">
        <v>0.28472222222222221</v>
      </c>
      <c r="T10" s="32">
        <v>0.36388888888888887</v>
      </c>
      <c r="U10" s="286">
        <f t="shared" si="14"/>
        <v>7.9999999999999716</v>
      </c>
      <c r="V10" s="298">
        <f t="shared" si="13"/>
        <v>114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-71.052631578947512</v>
      </c>
      <c r="AF10" s="289">
        <f t="shared" si="9"/>
        <v>0.95263157894736827</v>
      </c>
      <c r="AG10" s="616"/>
    </row>
    <row r="11" spans="1:33" ht="15.75" customHeight="1">
      <c r="A11" s="640" t="s">
        <v>175</v>
      </c>
      <c r="B11" s="27" t="s">
        <v>8</v>
      </c>
      <c r="C11" s="638" t="s">
        <v>9</v>
      </c>
      <c r="D11" s="639"/>
      <c r="E11" s="27">
        <v>39.619999999999997</v>
      </c>
      <c r="F11" s="299">
        <v>4036</v>
      </c>
      <c r="G11" s="286">
        <f t="shared" si="11"/>
        <v>159906.31999999998</v>
      </c>
      <c r="H11" s="31" t="s">
        <v>40</v>
      </c>
      <c r="I11" s="297">
        <v>19</v>
      </c>
      <c r="J11" s="29">
        <v>1500</v>
      </c>
      <c r="K11" s="12">
        <f t="shared" si="1"/>
        <v>78.94736842105263</v>
      </c>
      <c r="L11" s="297">
        <v>19</v>
      </c>
      <c r="M11" s="13">
        <f t="shared" si="12"/>
        <v>1432.8994082840234</v>
      </c>
      <c r="N11" s="12">
        <f t="shared" si="3"/>
        <v>75.415758330738072</v>
      </c>
      <c r="O11" s="14">
        <f t="shared" si="4"/>
        <v>0</v>
      </c>
      <c r="P11" s="15">
        <f t="shared" si="5"/>
        <v>-3.5316100903145582</v>
      </c>
      <c r="Q11" s="289">
        <f t="shared" si="6"/>
        <v>0.9552662721893489</v>
      </c>
      <c r="R11" s="616"/>
      <c r="S11" s="32">
        <v>0.36805555555555552</v>
      </c>
      <c r="T11" s="32">
        <v>0.48541666666666666</v>
      </c>
      <c r="U11" s="286">
        <f t="shared" si="14"/>
        <v>5.9999999999999787</v>
      </c>
      <c r="V11" s="298">
        <f t="shared" si="13"/>
        <v>169.00000000000003</v>
      </c>
      <c r="W11" s="16">
        <f>T11</f>
        <v>0.48541666666666666</v>
      </c>
      <c r="X11" s="16">
        <f>S12</f>
        <v>0.52569444444444446</v>
      </c>
      <c r="Y11" s="16"/>
      <c r="Z11" s="16"/>
      <c r="AA11" s="607"/>
      <c r="AB11" s="608"/>
      <c r="AC11" s="18"/>
      <c r="AD11" s="18"/>
      <c r="AE11" s="14">
        <f t="shared" si="8"/>
        <v>-67.100591715976634</v>
      </c>
      <c r="AF11" s="289">
        <f t="shared" si="9"/>
        <v>0.9552662721893489</v>
      </c>
      <c r="AG11" s="616"/>
    </row>
    <row r="12" spans="1:33" ht="15.75" customHeight="1">
      <c r="A12" s="640" t="s">
        <v>175</v>
      </c>
      <c r="B12" s="27" t="s">
        <v>8</v>
      </c>
      <c r="C12" s="638" t="s">
        <v>10</v>
      </c>
      <c r="D12" s="639"/>
      <c r="E12" s="27">
        <v>39.799999999999997</v>
      </c>
      <c r="F12" s="299">
        <v>1595</v>
      </c>
      <c r="G12" s="286">
        <f t="shared" si="11"/>
        <v>63480.999999999993</v>
      </c>
      <c r="H12" s="31" t="s">
        <v>40</v>
      </c>
      <c r="I12" s="297">
        <v>17</v>
      </c>
      <c r="J12" s="29">
        <v>1500</v>
      </c>
      <c r="K12" s="12">
        <f t="shared" si="1"/>
        <v>88.235294117647058</v>
      </c>
      <c r="L12" s="297">
        <v>17</v>
      </c>
      <c r="M12" s="13">
        <f t="shared" si="12"/>
        <v>1428.3582089552256</v>
      </c>
      <c r="N12" s="12">
        <f t="shared" si="3"/>
        <v>84.021071115013271</v>
      </c>
      <c r="O12" s="14">
        <f t="shared" si="4"/>
        <v>0</v>
      </c>
      <c r="P12" s="15">
        <f t="shared" si="5"/>
        <v>-4.214223002633787</v>
      </c>
      <c r="Q12" s="289">
        <f t="shared" si="6"/>
        <v>0.95223880597015043</v>
      </c>
      <c r="R12" s="616"/>
      <c r="S12" s="32">
        <v>0.52569444444444446</v>
      </c>
      <c r="T12" s="32">
        <v>0.57222222222222219</v>
      </c>
      <c r="U12" s="286">
        <f t="shared" si="14"/>
        <v>58.000000000000036</v>
      </c>
      <c r="V12" s="298">
        <f t="shared" si="13"/>
        <v>66.999999999999915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-71.641791044774436</v>
      </c>
      <c r="AF12" s="289">
        <f t="shared" si="9"/>
        <v>0.95223880597015043</v>
      </c>
      <c r="AG12" s="616"/>
    </row>
    <row r="13" spans="1:33" ht="15.75" customHeight="1">
      <c r="A13" s="640" t="s">
        <v>175</v>
      </c>
      <c r="B13" s="27" t="s">
        <v>8</v>
      </c>
      <c r="C13" s="638" t="s">
        <v>63</v>
      </c>
      <c r="D13" s="639"/>
      <c r="E13" s="27">
        <v>39.46</v>
      </c>
      <c r="F13" s="299">
        <v>1425</v>
      </c>
      <c r="G13" s="286">
        <f t="shared" si="11"/>
        <v>56230.5</v>
      </c>
      <c r="H13" s="31" t="s">
        <v>40</v>
      </c>
      <c r="I13" s="297">
        <v>15</v>
      </c>
      <c r="J13" s="29">
        <v>1500</v>
      </c>
      <c r="K13" s="12">
        <f t="shared" si="1"/>
        <v>100</v>
      </c>
      <c r="L13" s="297">
        <v>15</v>
      </c>
      <c r="M13" s="13">
        <f t="shared" si="12"/>
        <v>1449.1525423728826</v>
      </c>
      <c r="N13" s="12">
        <f t="shared" si="3"/>
        <v>96.610169491525511</v>
      </c>
      <c r="O13" s="14">
        <f t="shared" si="4"/>
        <v>0</v>
      </c>
      <c r="P13" s="15">
        <f t="shared" si="5"/>
        <v>-3.3898305084744891</v>
      </c>
      <c r="Q13" s="289">
        <f t="shared" si="6"/>
        <v>0.9661016949152551</v>
      </c>
      <c r="R13" s="616"/>
      <c r="S13" s="32">
        <v>0.57638888888888884</v>
      </c>
      <c r="T13" s="32">
        <v>0.61736111111111103</v>
      </c>
      <c r="U13" s="286">
        <f t="shared" si="14"/>
        <v>5.9999999999999787</v>
      </c>
      <c r="V13" s="298">
        <f t="shared" si="13"/>
        <v>58.99999999999995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-50.847457627117365</v>
      </c>
      <c r="AF13" s="289">
        <f t="shared" si="9"/>
        <v>0.9661016949152551</v>
      </c>
      <c r="AG13" s="616"/>
    </row>
    <row r="14" spans="1:33" ht="16.5" customHeight="1">
      <c r="A14" s="640" t="s">
        <v>175</v>
      </c>
      <c r="B14" s="27" t="s">
        <v>70</v>
      </c>
      <c r="C14" s="658"/>
      <c r="D14" s="658"/>
      <c r="E14" s="290"/>
      <c r="F14" s="29"/>
      <c r="G14" s="13"/>
      <c r="H14" s="299"/>
      <c r="I14" s="21">
        <v>17</v>
      </c>
      <c r="J14" s="29">
        <v>1500</v>
      </c>
      <c r="K14" s="12">
        <f t="shared" si="1"/>
        <v>88.235294117647058</v>
      </c>
      <c r="L14" s="21">
        <v>17</v>
      </c>
      <c r="M14" s="13">
        <f>AVERAGE(M8:M13)</f>
        <v>1433.0008296906751</v>
      </c>
      <c r="N14" s="12">
        <f t="shared" si="3"/>
        <v>84.294166452392659</v>
      </c>
      <c r="O14" s="14">
        <f t="shared" si="4"/>
        <v>0</v>
      </c>
      <c r="P14" s="15">
        <f t="shared" si="5"/>
        <v>-3.9411276652543989</v>
      </c>
      <c r="Q14" s="289">
        <f t="shared" si="6"/>
        <v>0.95533388646045014</v>
      </c>
      <c r="R14" s="616"/>
      <c r="S14" s="32"/>
      <c r="T14" s="32"/>
      <c r="U14" s="12"/>
      <c r="V14" s="298"/>
      <c r="W14" s="12"/>
      <c r="X14" s="12"/>
      <c r="Y14" s="22">
        <f>SUM(Y8:Y13)</f>
        <v>0</v>
      </c>
      <c r="Z14" s="22">
        <f>SUM(Z8:Z13)</f>
        <v>0</v>
      </c>
      <c r="AA14" s="611"/>
      <c r="AB14" s="611"/>
      <c r="AC14" s="22">
        <v>6</v>
      </c>
      <c r="AD14" s="22">
        <f>SUM(AD8:AD13)</f>
        <v>0</v>
      </c>
      <c r="AE14" s="14">
        <f t="shared" si="8"/>
        <v>-66.999170309324882</v>
      </c>
      <c r="AF14" s="289">
        <f t="shared" si="9"/>
        <v>0.95533388646045003</v>
      </c>
      <c r="AG14" s="616"/>
    </row>
    <row r="15" spans="1:33" ht="16.5" customHeight="1">
      <c r="A15" s="636" t="s">
        <v>178</v>
      </c>
      <c r="B15" s="299" t="s">
        <v>1134</v>
      </c>
      <c r="C15" s="659" t="s">
        <v>1035</v>
      </c>
      <c r="D15" s="659"/>
      <c r="E15" s="27">
        <v>31.11</v>
      </c>
      <c r="F15" s="299">
        <v>3959</v>
      </c>
      <c r="G15" s="286">
        <f t="shared" ref="G15:G21" si="15">E15*F15</f>
        <v>123164.48999999999</v>
      </c>
      <c r="H15" s="31" t="s">
        <v>40</v>
      </c>
      <c r="I15" s="297">
        <v>14</v>
      </c>
      <c r="J15" s="29">
        <v>2000</v>
      </c>
      <c r="K15" s="12">
        <f t="shared" si="1"/>
        <v>142.85714285714286</v>
      </c>
      <c r="L15" s="297">
        <v>14</v>
      </c>
      <c r="M15" s="13">
        <f t="shared" ref="M15:M21" si="16">F15/V15*60</f>
        <v>1915.6451612903222</v>
      </c>
      <c r="N15" s="12">
        <f t="shared" si="3"/>
        <v>136.831797235023</v>
      </c>
      <c r="O15" s="14">
        <f t="shared" si="4"/>
        <v>0</v>
      </c>
      <c r="P15" s="15">
        <f t="shared" si="5"/>
        <v>-6.0253456221198576</v>
      </c>
      <c r="Q15" s="289">
        <f t="shared" si="6"/>
        <v>0.95782258064516101</v>
      </c>
      <c r="R15" s="616">
        <f>Q22</f>
        <v>0.95896664861016678</v>
      </c>
      <c r="S15" s="32">
        <v>8.3333333333333329E-2</v>
      </c>
      <c r="T15" s="32">
        <v>0.16944444444444445</v>
      </c>
      <c r="U15" s="286"/>
      <c r="V15" s="298">
        <f t="shared" ref="V15:V21" si="17">(T15-S15)*24*60</f>
        <v>124.00000000000001</v>
      </c>
      <c r="W15" s="16">
        <f>T15</f>
        <v>0.16944444444444445</v>
      </c>
      <c r="X15" s="16">
        <f>S16</f>
        <v>0.18958333333333335</v>
      </c>
      <c r="Y15" s="20"/>
      <c r="Z15" s="20"/>
      <c r="AA15" s="612"/>
      <c r="AB15" s="612"/>
      <c r="AC15" s="18">
        <v>7</v>
      </c>
      <c r="AD15" s="18"/>
      <c r="AE15" s="14">
        <f t="shared" si="8"/>
        <v>-84.354838709677779</v>
      </c>
      <c r="AF15" s="289">
        <f t="shared" si="9"/>
        <v>0.95782258064516113</v>
      </c>
      <c r="AG15" s="616">
        <f>AF22</f>
        <v>0.95896664861016678</v>
      </c>
    </row>
    <row r="16" spans="1:33" ht="16.5" customHeight="1">
      <c r="A16" s="637" t="s">
        <v>178</v>
      </c>
      <c r="B16" s="299" t="s">
        <v>1134</v>
      </c>
      <c r="C16" s="659" t="s">
        <v>1036</v>
      </c>
      <c r="D16" s="659"/>
      <c r="E16" s="27">
        <v>38.99</v>
      </c>
      <c r="F16" s="299">
        <v>1481</v>
      </c>
      <c r="G16" s="286">
        <f t="shared" si="15"/>
        <v>57744.19</v>
      </c>
      <c r="H16" s="31" t="s">
        <v>40</v>
      </c>
      <c r="I16" s="297">
        <v>14</v>
      </c>
      <c r="J16" s="29">
        <v>2000</v>
      </c>
      <c r="K16" s="12">
        <f t="shared" si="1"/>
        <v>142.85714285714286</v>
      </c>
      <c r="L16" s="297">
        <v>14</v>
      </c>
      <c r="M16" s="13">
        <f t="shared" si="16"/>
        <v>1931.7391304347827</v>
      </c>
      <c r="N16" s="12">
        <f t="shared" si="3"/>
        <v>137.98136645962734</v>
      </c>
      <c r="O16" s="14">
        <f t="shared" si="4"/>
        <v>0</v>
      </c>
      <c r="P16" s="15">
        <f t="shared" si="5"/>
        <v>-4.8757763975155228</v>
      </c>
      <c r="Q16" s="289">
        <f t="shared" si="6"/>
        <v>0.96586956521739131</v>
      </c>
      <c r="R16" s="616"/>
      <c r="S16" s="32">
        <v>0.18958333333333335</v>
      </c>
      <c r="T16" s="32">
        <v>0.2215277777777778</v>
      </c>
      <c r="U16" s="286">
        <f t="shared" ref="U16:U21" si="18">IF(S16=TIME(17,0,0),"",(S16-T15)*24*60)</f>
        <v>29.000000000000018</v>
      </c>
      <c r="V16" s="298">
        <f t="shared" si="17"/>
        <v>46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-68.260869565217263</v>
      </c>
      <c r="AF16" s="289">
        <f t="shared" si="9"/>
        <v>0.96586956521739142</v>
      </c>
      <c r="AG16" s="616"/>
    </row>
    <row r="17" spans="1:33" ht="16.5" customHeight="1">
      <c r="A17" s="637" t="s">
        <v>178</v>
      </c>
      <c r="B17" s="299" t="s">
        <v>11</v>
      </c>
      <c r="C17" s="659" t="s">
        <v>67</v>
      </c>
      <c r="D17" s="659"/>
      <c r="E17" s="27">
        <v>38.619999999999997</v>
      </c>
      <c r="F17" s="299">
        <v>2470</v>
      </c>
      <c r="G17" s="286">
        <f t="shared" si="15"/>
        <v>95391.4</v>
      </c>
      <c r="H17" s="31" t="s">
        <v>40</v>
      </c>
      <c r="I17" s="297">
        <v>24</v>
      </c>
      <c r="J17" s="29">
        <v>1500</v>
      </c>
      <c r="K17" s="12">
        <f t="shared" si="1"/>
        <v>62.5</v>
      </c>
      <c r="L17" s="297">
        <v>24</v>
      </c>
      <c r="M17" s="13">
        <f t="shared" si="16"/>
        <v>1438.8349514563104</v>
      </c>
      <c r="N17" s="12">
        <f t="shared" si="3"/>
        <v>59.951456310679596</v>
      </c>
      <c r="O17" s="14">
        <f t="shared" si="4"/>
        <v>0</v>
      </c>
      <c r="P17" s="15">
        <f t="shared" si="5"/>
        <v>-2.5485436893204039</v>
      </c>
      <c r="Q17" s="289">
        <f t="shared" si="6"/>
        <v>0.95922330097087349</v>
      </c>
      <c r="R17" s="616"/>
      <c r="S17" s="32">
        <v>0.22569444444444448</v>
      </c>
      <c r="T17" s="32">
        <v>0.29722222222222228</v>
      </c>
      <c r="U17" s="286">
        <f t="shared" si="18"/>
        <v>6.0000000000000187</v>
      </c>
      <c r="V17" s="298">
        <f t="shared" si="17"/>
        <v>103.00000000000003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-61.165048543689636</v>
      </c>
      <c r="AF17" s="289">
        <f t="shared" si="9"/>
        <v>0.9592233009708736</v>
      </c>
      <c r="AG17" s="616"/>
    </row>
    <row r="18" spans="1:33" ht="16.5" customHeight="1">
      <c r="A18" s="637" t="s">
        <v>178</v>
      </c>
      <c r="B18" s="299" t="s">
        <v>11</v>
      </c>
      <c r="C18" s="659" t="s">
        <v>12</v>
      </c>
      <c r="D18" s="659"/>
      <c r="E18" s="27">
        <v>41</v>
      </c>
      <c r="F18" s="299">
        <v>2026</v>
      </c>
      <c r="G18" s="286">
        <f t="shared" si="15"/>
        <v>83066</v>
      </c>
      <c r="H18" s="31" t="s">
        <v>40</v>
      </c>
      <c r="I18" s="297">
        <v>26</v>
      </c>
      <c r="J18" s="29">
        <v>1500</v>
      </c>
      <c r="K18" s="12">
        <f t="shared" si="1"/>
        <v>57.692307692307693</v>
      </c>
      <c r="L18" s="297">
        <v>26</v>
      </c>
      <c r="M18" s="13">
        <f t="shared" si="16"/>
        <v>1430.1176470588234</v>
      </c>
      <c r="N18" s="12">
        <f t="shared" si="3"/>
        <v>55.004524886877824</v>
      </c>
      <c r="O18" s="14">
        <f t="shared" si="4"/>
        <v>0</v>
      </c>
      <c r="P18" s="15">
        <f t="shared" si="5"/>
        <v>-2.6877828054298689</v>
      </c>
      <c r="Q18" s="289">
        <f t="shared" si="6"/>
        <v>0.95341176470588229</v>
      </c>
      <c r="R18" s="616"/>
      <c r="S18" s="32">
        <v>0.30277777777777781</v>
      </c>
      <c r="T18" s="32">
        <v>0.3618055555555556</v>
      </c>
      <c r="U18" s="286">
        <f t="shared" si="18"/>
        <v>7.9999999999999716</v>
      </c>
      <c r="V18" s="298">
        <f t="shared" si="17"/>
        <v>85.000000000000014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-69.882352941176578</v>
      </c>
      <c r="AF18" s="289">
        <f t="shared" si="9"/>
        <v>0.95341176470588229</v>
      </c>
      <c r="AG18" s="616"/>
    </row>
    <row r="19" spans="1:33" ht="16.5" customHeight="1">
      <c r="A19" s="637" t="s">
        <v>178</v>
      </c>
      <c r="B19" s="299" t="s">
        <v>5</v>
      </c>
      <c r="C19" s="659" t="s">
        <v>66</v>
      </c>
      <c r="D19" s="659"/>
      <c r="E19" s="27">
        <v>37.03</v>
      </c>
      <c r="F19" s="299">
        <v>3578</v>
      </c>
      <c r="G19" s="286">
        <f t="shared" si="15"/>
        <v>132493.34</v>
      </c>
      <c r="H19" s="31" t="s">
        <v>40</v>
      </c>
      <c r="I19" s="297">
        <v>13</v>
      </c>
      <c r="J19" s="29">
        <v>1500</v>
      </c>
      <c r="K19" s="12">
        <f t="shared" si="1"/>
        <v>115.38461538461539</v>
      </c>
      <c r="L19" s="297">
        <v>13</v>
      </c>
      <c r="M19" s="13">
        <f t="shared" si="16"/>
        <v>1431.1999999999996</v>
      </c>
      <c r="N19" s="12">
        <f t="shared" si="3"/>
        <v>110.09230769230766</v>
      </c>
      <c r="O19" s="14">
        <f t="shared" si="4"/>
        <v>0</v>
      </c>
      <c r="P19" s="15">
        <f t="shared" si="5"/>
        <v>-5.2923076923077303</v>
      </c>
      <c r="Q19" s="289">
        <f t="shared" si="6"/>
        <v>0.95413333333333306</v>
      </c>
      <c r="R19" s="616"/>
      <c r="S19" s="32">
        <v>0.36736111111111114</v>
      </c>
      <c r="T19" s="32">
        <v>0.47152777777777782</v>
      </c>
      <c r="U19" s="286">
        <f t="shared" si="18"/>
        <v>7.9999999999999716</v>
      </c>
      <c r="V19" s="298">
        <f t="shared" si="17"/>
        <v>150.00000000000003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-68.800000000000409</v>
      </c>
      <c r="AF19" s="289">
        <f t="shared" si="9"/>
        <v>0.95413333333333306</v>
      </c>
      <c r="AG19" s="616"/>
    </row>
    <row r="20" spans="1:33" ht="16.5" customHeight="1">
      <c r="A20" s="637" t="s">
        <v>1474</v>
      </c>
      <c r="B20" s="299" t="s">
        <v>5</v>
      </c>
      <c r="C20" s="295" t="s">
        <v>6</v>
      </c>
      <c r="D20" s="296"/>
      <c r="E20" s="27">
        <v>50.67</v>
      </c>
      <c r="F20" s="299">
        <v>1699</v>
      </c>
      <c r="G20" s="286">
        <f t="shared" si="15"/>
        <v>86088.33</v>
      </c>
      <c r="H20" s="31" t="s">
        <v>40</v>
      </c>
      <c r="I20" s="297">
        <v>17</v>
      </c>
      <c r="J20" s="29">
        <v>2000</v>
      </c>
      <c r="K20" s="12">
        <f t="shared" si="1"/>
        <v>117.64705882352941</v>
      </c>
      <c r="L20" s="297">
        <v>17</v>
      </c>
      <c r="M20" s="13">
        <f t="shared" si="16"/>
        <v>1923.3962264150955</v>
      </c>
      <c r="N20" s="12">
        <f t="shared" si="3"/>
        <v>113.14095449500562</v>
      </c>
      <c r="O20" s="14">
        <f t="shared" si="4"/>
        <v>0</v>
      </c>
      <c r="P20" s="15">
        <f t="shared" si="5"/>
        <v>-4.5061043285237901</v>
      </c>
      <c r="Q20" s="289">
        <f t="shared" si="6"/>
        <v>0.96169811320754783</v>
      </c>
      <c r="R20" s="616"/>
      <c r="S20" s="32">
        <v>0.70833333333333337</v>
      </c>
      <c r="T20" s="32">
        <v>0.74513888888888891</v>
      </c>
      <c r="U20" s="286" t="str">
        <f t="shared" si="18"/>
        <v/>
      </c>
      <c r="V20" s="298">
        <f t="shared" si="17"/>
        <v>52.999999999999972</v>
      </c>
      <c r="W20" s="16"/>
      <c r="X20" s="16"/>
      <c r="Y20" s="19"/>
      <c r="Z20" s="19"/>
      <c r="AA20" s="293"/>
      <c r="AB20" s="294"/>
      <c r="AC20" s="18"/>
      <c r="AD20" s="18"/>
      <c r="AE20" s="14">
        <f t="shared" si="8"/>
        <v>-76.603773584904502</v>
      </c>
      <c r="AF20" s="289">
        <f t="shared" si="9"/>
        <v>0.96169811320754772</v>
      </c>
      <c r="AG20" s="616"/>
    </row>
    <row r="21" spans="1:33" ht="16.5" customHeight="1">
      <c r="A21" s="637" t="s">
        <v>178</v>
      </c>
      <c r="B21" s="299" t="s">
        <v>5</v>
      </c>
      <c r="C21" s="295" t="s">
        <v>615</v>
      </c>
      <c r="D21" s="296"/>
      <c r="E21" s="27">
        <v>54.5</v>
      </c>
      <c r="F21" s="299">
        <v>3017</v>
      </c>
      <c r="G21" s="286">
        <f t="shared" si="15"/>
        <v>164426.5</v>
      </c>
      <c r="H21" s="31" t="s">
        <v>40</v>
      </c>
      <c r="I21" s="297">
        <v>20</v>
      </c>
      <c r="J21" s="29">
        <v>1500</v>
      </c>
      <c r="K21" s="12">
        <f t="shared" si="1"/>
        <v>75</v>
      </c>
      <c r="L21" s="297">
        <v>20</v>
      </c>
      <c r="M21" s="13">
        <f t="shared" si="16"/>
        <v>1436.6666666666663</v>
      </c>
      <c r="N21" s="12">
        <f t="shared" si="3"/>
        <v>71.833333333333314</v>
      </c>
      <c r="O21" s="14">
        <f t="shared" si="4"/>
        <v>0</v>
      </c>
      <c r="P21" s="15">
        <f t="shared" si="5"/>
        <v>-3.1666666666666856</v>
      </c>
      <c r="Q21" s="289">
        <f t="shared" si="6"/>
        <v>0.95777777777777751</v>
      </c>
      <c r="R21" s="616"/>
      <c r="S21" s="32">
        <v>0.75</v>
      </c>
      <c r="T21" s="32">
        <v>0.83750000000000002</v>
      </c>
      <c r="U21" s="286">
        <f t="shared" si="18"/>
        <v>6.9999999999999751</v>
      </c>
      <c r="V21" s="298">
        <f t="shared" si="17"/>
        <v>126.00000000000003</v>
      </c>
      <c r="W21" s="16"/>
      <c r="X21" s="16"/>
      <c r="Y21" s="19"/>
      <c r="Z21" s="19"/>
      <c r="AA21" s="293"/>
      <c r="AB21" s="294"/>
      <c r="AC21" s="18"/>
      <c r="AD21" s="18"/>
      <c r="AE21" s="14">
        <f t="shared" si="8"/>
        <v>-63.333333333333712</v>
      </c>
      <c r="AF21" s="289">
        <f t="shared" si="9"/>
        <v>0.95777777777777751</v>
      </c>
      <c r="AG21" s="616"/>
    </row>
    <row r="22" spans="1:33" ht="16.5" customHeight="1">
      <c r="A22" s="637" t="s">
        <v>178</v>
      </c>
      <c r="B22" s="27" t="s">
        <v>70</v>
      </c>
      <c r="C22" s="658"/>
      <c r="D22" s="658"/>
      <c r="E22" s="290"/>
      <c r="F22" s="28"/>
      <c r="G22" s="12"/>
      <c r="H22" s="299"/>
      <c r="I22" s="21">
        <v>18.285714285714285</v>
      </c>
      <c r="J22" s="29">
        <v>1714.2857142857142</v>
      </c>
      <c r="K22" s="12">
        <f t="shared" si="1"/>
        <v>93.75</v>
      </c>
      <c r="L22" s="21">
        <v>18.285714285714285</v>
      </c>
      <c r="M22" s="13">
        <f>AVERAGE(M15:M21)</f>
        <v>1643.9428261888572</v>
      </c>
      <c r="N22" s="12">
        <f t="shared" si="3"/>
        <v>89.903123307203131</v>
      </c>
      <c r="O22" s="14">
        <f t="shared" si="4"/>
        <v>0</v>
      </c>
      <c r="P22" s="15">
        <f t="shared" si="5"/>
        <v>-3.8468766927968687</v>
      </c>
      <c r="Q22" s="289">
        <f t="shared" si="6"/>
        <v>0.95896664861016678</v>
      </c>
      <c r="R22" s="616"/>
      <c r="S22" s="32"/>
      <c r="T22" s="32"/>
      <c r="U22" s="286"/>
      <c r="V22" s="298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-70.342888096856996</v>
      </c>
      <c r="AF22" s="289">
        <f t="shared" si="9"/>
        <v>0.95896664861016678</v>
      </c>
      <c r="AG22" s="616"/>
    </row>
    <row r="23" spans="1:33" ht="15.75" customHeight="1">
      <c r="A23" s="634" t="s">
        <v>179</v>
      </c>
      <c r="B23" s="27" t="s">
        <v>5</v>
      </c>
      <c r="C23" s="659" t="s">
        <v>16</v>
      </c>
      <c r="D23" s="659"/>
      <c r="E23" s="27">
        <v>50.67</v>
      </c>
      <c r="F23" s="299">
        <v>2381</v>
      </c>
      <c r="G23" s="286">
        <f t="shared" ref="G23:G29" si="19">E23*F23</f>
        <v>120645.27</v>
      </c>
      <c r="H23" s="31" t="s">
        <v>40</v>
      </c>
      <c r="I23" s="297">
        <v>17</v>
      </c>
      <c r="J23" s="29">
        <v>2000</v>
      </c>
      <c r="K23" s="12">
        <f t="shared" si="1"/>
        <v>117.64705882352941</v>
      </c>
      <c r="L23" s="297">
        <v>17</v>
      </c>
      <c r="M23" s="13">
        <f t="shared" ref="M23:M29" si="20">F23/V23*60</f>
        <v>1904.7999999999995</v>
      </c>
      <c r="N23" s="12">
        <f t="shared" si="3"/>
        <v>112.04705882352938</v>
      </c>
      <c r="O23" s="14">
        <f t="shared" si="4"/>
        <v>0</v>
      </c>
      <c r="P23" s="15">
        <f t="shared" si="5"/>
        <v>-5.6000000000000227</v>
      </c>
      <c r="Q23" s="289">
        <f t="shared" si="6"/>
        <v>0.9523999999999998</v>
      </c>
      <c r="R23" s="616">
        <f>Q30</f>
        <v>0.95929061451574649</v>
      </c>
      <c r="S23" s="32">
        <v>0.20833333333333334</v>
      </c>
      <c r="T23" s="32">
        <v>0.26041666666666669</v>
      </c>
      <c r="U23" s="286"/>
      <c r="V23" s="298">
        <f t="shared" ref="V23:V29" si="21">(T23-S23)*24*60</f>
        <v>75.000000000000014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-95.2000000000005</v>
      </c>
      <c r="AF23" s="289">
        <f t="shared" si="9"/>
        <v>0.9523999999999998</v>
      </c>
      <c r="AG23" s="616">
        <f>AF30</f>
        <v>0.95929061451574649</v>
      </c>
    </row>
    <row r="24" spans="1:33" ht="15.75" customHeight="1">
      <c r="A24" s="635" t="s">
        <v>179</v>
      </c>
      <c r="B24" s="27" t="s">
        <v>5</v>
      </c>
      <c r="C24" s="659" t="s">
        <v>17</v>
      </c>
      <c r="D24" s="659"/>
      <c r="E24" s="27">
        <v>57.73</v>
      </c>
      <c r="F24" s="299">
        <v>2865</v>
      </c>
      <c r="G24" s="286">
        <f t="shared" si="19"/>
        <v>165396.44999999998</v>
      </c>
      <c r="H24" s="31" t="s">
        <v>40</v>
      </c>
      <c r="I24" s="297">
        <v>14</v>
      </c>
      <c r="J24" s="29">
        <v>2000</v>
      </c>
      <c r="K24" s="12">
        <f t="shared" si="1"/>
        <v>142.85714285714286</v>
      </c>
      <c r="L24" s="297">
        <v>14</v>
      </c>
      <c r="M24" s="13">
        <f t="shared" si="20"/>
        <v>1910</v>
      </c>
      <c r="N24" s="12">
        <f t="shared" si="3"/>
        <v>136.42857142857142</v>
      </c>
      <c r="O24" s="14">
        <f t="shared" si="4"/>
        <v>0</v>
      </c>
      <c r="P24" s="15">
        <f t="shared" si="5"/>
        <v>-6.4285714285714448</v>
      </c>
      <c r="Q24" s="289">
        <f t="shared" si="6"/>
        <v>0.95499999999999985</v>
      </c>
      <c r="R24" s="616"/>
      <c r="S24" s="32">
        <v>0.26597222222222222</v>
      </c>
      <c r="T24" s="32">
        <v>0.32847222222222222</v>
      </c>
      <c r="U24" s="286">
        <f t="shared" ref="U24:U29" si="22">IF(S24=TIME(17,0,0),"",(S24-T23)*24*60)</f>
        <v>7.9999999999999716</v>
      </c>
      <c r="V24" s="298">
        <f t="shared" si="21"/>
        <v>90</v>
      </c>
      <c r="W24" s="16"/>
      <c r="X24" s="286"/>
      <c r="Y24" s="286"/>
      <c r="Z24" s="286"/>
      <c r="AA24" s="612"/>
      <c r="AB24" s="612"/>
      <c r="AC24" s="18"/>
      <c r="AD24" s="18"/>
      <c r="AE24" s="14">
        <f t="shared" si="8"/>
        <v>-90</v>
      </c>
      <c r="AF24" s="289">
        <f t="shared" si="9"/>
        <v>0.95499999999999996</v>
      </c>
      <c r="AG24" s="616"/>
    </row>
    <row r="25" spans="1:33" ht="15.75" customHeight="1">
      <c r="A25" s="635" t="s">
        <v>179</v>
      </c>
      <c r="B25" s="27" t="s">
        <v>5</v>
      </c>
      <c r="C25" s="659" t="s">
        <v>60</v>
      </c>
      <c r="D25" s="659"/>
      <c r="E25" s="27">
        <v>53.27</v>
      </c>
      <c r="F25" s="299">
        <v>1973</v>
      </c>
      <c r="G25" s="286">
        <f t="shared" si="19"/>
        <v>105101.71</v>
      </c>
      <c r="H25" s="31" t="s">
        <v>40</v>
      </c>
      <c r="I25" s="297">
        <v>16</v>
      </c>
      <c r="J25" s="29">
        <v>2000</v>
      </c>
      <c r="K25" s="12">
        <f t="shared" si="1"/>
        <v>125</v>
      </c>
      <c r="L25" s="297">
        <v>16</v>
      </c>
      <c r="M25" s="13">
        <f t="shared" si="20"/>
        <v>1909.3548387096769</v>
      </c>
      <c r="N25" s="12">
        <f t="shared" si="3"/>
        <v>119.3346774193548</v>
      </c>
      <c r="O25" s="14">
        <f t="shared" si="4"/>
        <v>0</v>
      </c>
      <c r="P25" s="15">
        <f t="shared" si="5"/>
        <v>-5.6653225806451957</v>
      </c>
      <c r="Q25" s="289">
        <f t="shared" si="6"/>
        <v>0.95467741935483841</v>
      </c>
      <c r="R25" s="616"/>
      <c r="S25" s="32">
        <v>0.33263888888888887</v>
      </c>
      <c r="T25" s="32">
        <v>0.37569444444444444</v>
      </c>
      <c r="U25" s="286">
        <f t="shared" si="22"/>
        <v>5.9999999999999787</v>
      </c>
      <c r="V25" s="298">
        <f t="shared" si="21"/>
        <v>62.000000000000021</v>
      </c>
      <c r="W25" s="16"/>
      <c r="X25" s="286"/>
      <c r="Y25" s="286"/>
      <c r="Z25" s="286"/>
      <c r="AA25" s="612"/>
      <c r="AB25" s="612"/>
      <c r="AC25" s="18"/>
      <c r="AD25" s="18"/>
      <c r="AE25" s="14">
        <f t="shared" si="8"/>
        <v>-90.645161290323131</v>
      </c>
      <c r="AF25" s="289">
        <f t="shared" si="9"/>
        <v>0.95467741935483841</v>
      </c>
      <c r="AG25" s="616"/>
    </row>
    <row r="26" spans="1:33" ht="15.75" customHeight="1">
      <c r="A26" s="635" t="s">
        <v>179</v>
      </c>
      <c r="B26" s="27" t="s">
        <v>5</v>
      </c>
      <c r="C26" s="659" t="s">
        <v>18</v>
      </c>
      <c r="D26" s="659"/>
      <c r="E26" s="27">
        <v>50.49</v>
      </c>
      <c r="F26" s="299">
        <v>2131</v>
      </c>
      <c r="G26" s="286">
        <f t="shared" si="19"/>
        <v>107594.19</v>
      </c>
      <c r="H26" s="31" t="s">
        <v>40</v>
      </c>
      <c r="I26" s="297">
        <v>15</v>
      </c>
      <c r="J26" s="29">
        <v>2000</v>
      </c>
      <c r="K26" s="12">
        <f t="shared" si="1"/>
        <v>133.33333333333334</v>
      </c>
      <c r="L26" s="297">
        <v>15</v>
      </c>
      <c r="M26" s="13">
        <f t="shared" si="20"/>
        <v>1908.3582089552215</v>
      </c>
      <c r="N26" s="12">
        <f t="shared" si="3"/>
        <v>127.22388059701477</v>
      </c>
      <c r="O26" s="14">
        <f t="shared" si="4"/>
        <v>0</v>
      </c>
      <c r="P26" s="15">
        <f t="shared" si="5"/>
        <v>-6.1094527363185733</v>
      </c>
      <c r="Q26" s="289">
        <f t="shared" si="6"/>
        <v>0.95417910447761067</v>
      </c>
      <c r="R26" s="616"/>
      <c r="S26" s="32">
        <v>0.70833333333333337</v>
      </c>
      <c r="T26" s="32">
        <v>0.7548611111111112</v>
      </c>
      <c r="U26" s="286" t="str">
        <f t="shared" si="22"/>
        <v/>
      </c>
      <c r="V26" s="298">
        <f t="shared" si="21"/>
        <v>67.000000000000085</v>
      </c>
      <c r="W26" s="16"/>
      <c r="X26" s="286"/>
      <c r="Y26" s="286"/>
      <c r="Z26" s="286"/>
      <c r="AA26" s="612"/>
      <c r="AB26" s="612"/>
      <c r="AC26" s="18"/>
      <c r="AD26" s="18"/>
      <c r="AE26" s="14">
        <f t="shared" si="8"/>
        <v>-91.641791044778529</v>
      </c>
      <c r="AF26" s="289">
        <f t="shared" si="9"/>
        <v>0.95417910447761078</v>
      </c>
      <c r="AG26" s="616"/>
    </row>
    <row r="27" spans="1:33" ht="15.75" customHeight="1">
      <c r="A27" s="635" t="s">
        <v>179</v>
      </c>
      <c r="B27" s="27" t="s">
        <v>5</v>
      </c>
      <c r="C27" s="659" t="s">
        <v>65</v>
      </c>
      <c r="D27" s="659"/>
      <c r="E27" s="27">
        <v>56.43</v>
      </c>
      <c r="F27" s="299">
        <v>1610</v>
      </c>
      <c r="G27" s="286">
        <f t="shared" si="19"/>
        <v>90852.3</v>
      </c>
      <c r="H27" s="31" t="s">
        <v>40</v>
      </c>
      <c r="I27" s="297">
        <v>13</v>
      </c>
      <c r="J27" s="29">
        <v>2000</v>
      </c>
      <c r="K27" s="12">
        <f t="shared" si="1"/>
        <v>153.84615384615384</v>
      </c>
      <c r="L27" s="297">
        <v>13</v>
      </c>
      <c r="M27" s="13">
        <f t="shared" si="20"/>
        <v>1932.0000000000007</v>
      </c>
      <c r="N27" s="12">
        <f t="shared" si="3"/>
        <v>148.61538461538467</v>
      </c>
      <c r="O27" s="14">
        <f t="shared" si="4"/>
        <v>0</v>
      </c>
      <c r="P27" s="15">
        <f t="shared" si="5"/>
        <v>-5.2307692307691696</v>
      </c>
      <c r="Q27" s="289">
        <f t="shared" si="6"/>
        <v>0.96600000000000041</v>
      </c>
      <c r="R27" s="616"/>
      <c r="S27" s="32">
        <v>0.75833333333333341</v>
      </c>
      <c r="T27" s="32">
        <v>0.79305555555555562</v>
      </c>
      <c r="U27" s="286">
        <f t="shared" si="22"/>
        <v>4.9999999999999822</v>
      </c>
      <c r="V27" s="298">
        <f t="shared" si="21"/>
        <v>49.999999999999986</v>
      </c>
      <c r="W27" s="16"/>
      <c r="X27" s="16"/>
      <c r="Y27" s="286"/>
      <c r="Z27" s="286"/>
      <c r="AA27" s="612"/>
      <c r="AB27" s="612"/>
      <c r="AC27" s="18"/>
      <c r="AD27" s="18"/>
      <c r="AE27" s="14">
        <f t="shared" si="8"/>
        <v>-67.999999999999318</v>
      </c>
      <c r="AF27" s="289">
        <f t="shared" si="9"/>
        <v>0.9660000000000003</v>
      </c>
      <c r="AG27" s="616"/>
    </row>
    <row r="28" spans="1:33" ht="15.75" customHeight="1">
      <c r="A28" s="635" t="s">
        <v>179</v>
      </c>
      <c r="B28" s="27" t="s">
        <v>5</v>
      </c>
      <c r="C28" s="659" t="s">
        <v>1322</v>
      </c>
      <c r="D28" s="659"/>
      <c r="E28" s="27">
        <v>54.09</v>
      </c>
      <c r="F28" s="299">
        <v>1300</v>
      </c>
      <c r="G28" s="286">
        <f t="shared" si="19"/>
        <v>70317</v>
      </c>
      <c r="H28" s="31">
        <v>2</v>
      </c>
      <c r="I28" s="297">
        <v>18</v>
      </c>
      <c r="J28" s="29">
        <v>2000</v>
      </c>
      <c r="K28" s="12">
        <f t="shared" si="1"/>
        <v>111.11111111111111</v>
      </c>
      <c r="L28" s="297">
        <v>18</v>
      </c>
      <c r="M28" s="13">
        <f t="shared" si="20"/>
        <v>1949.9999999999991</v>
      </c>
      <c r="N28" s="12">
        <f t="shared" si="3"/>
        <v>108.33333333333329</v>
      </c>
      <c r="O28" s="14">
        <f t="shared" si="4"/>
        <v>0</v>
      </c>
      <c r="P28" s="15">
        <f t="shared" si="5"/>
        <v>-2.7777777777778283</v>
      </c>
      <c r="Q28" s="289">
        <f t="shared" si="6"/>
        <v>0.97499999999999953</v>
      </c>
      <c r="R28" s="616"/>
      <c r="S28" s="32">
        <v>0.79791666666666672</v>
      </c>
      <c r="T28" s="32">
        <v>0.82569444444444451</v>
      </c>
      <c r="U28" s="286">
        <f t="shared" si="22"/>
        <v>6.9999999999999751</v>
      </c>
      <c r="V28" s="298">
        <f t="shared" si="21"/>
        <v>40.000000000000014</v>
      </c>
      <c r="W28" s="16">
        <f>T28</f>
        <v>0.82569444444444451</v>
      </c>
      <c r="X28" s="16">
        <f>S29</f>
        <v>0.86736111111111114</v>
      </c>
      <c r="Y28" s="20"/>
      <c r="Z28" s="20"/>
      <c r="AA28" s="612"/>
      <c r="AB28" s="612"/>
      <c r="AC28" s="18"/>
      <c r="AD28" s="18"/>
      <c r="AE28" s="14">
        <f t="shared" si="8"/>
        <v>-50.000000000000909</v>
      </c>
      <c r="AF28" s="289">
        <f t="shared" si="9"/>
        <v>0.97499999999999953</v>
      </c>
      <c r="AG28" s="616"/>
    </row>
    <row r="29" spans="1:33" ht="15.75" customHeight="1">
      <c r="A29" s="635" t="s">
        <v>179</v>
      </c>
      <c r="B29" s="27" t="s">
        <v>5</v>
      </c>
      <c r="C29" s="631" t="s">
        <v>1322</v>
      </c>
      <c r="D29" s="632"/>
      <c r="E29" s="27">
        <v>54.09</v>
      </c>
      <c r="F29" s="299">
        <v>2586</v>
      </c>
      <c r="G29" s="286">
        <f t="shared" si="19"/>
        <v>139876.74000000002</v>
      </c>
      <c r="H29" s="31" t="s">
        <v>40</v>
      </c>
      <c r="I29" s="297">
        <v>18</v>
      </c>
      <c r="J29" s="29">
        <v>2000</v>
      </c>
      <c r="K29" s="12">
        <f t="shared" si="1"/>
        <v>111.11111111111111</v>
      </c>
      <c r="L29" s="297">
        <v>18</v>
      </c>
      <c r="M29" s="13">
        <f t="shared" si="20"/>
        <v>1915.5555555555547</v>
      </c>
      <c r="N29" s="12">
        <f t="shared" si="3"/>
        <v>106.4197530864197</v>
      </c>
      <c r="O29" s="14">
        <f t="shared" si="4"/>
        <v>0</v>
      </c>
      <c r="P29" s="15">
        <f t="shared" si="5"/>
        <v>-4.6913580246914108</v>
      </c>
      <c r="Q29" s="289">
        <f t="shared" si="6"/>
        <v>0.95777777777777728</v>
      </c>
      <c r="R29" s="616"/>
      <c r="S29" s="32">
        <v>0.86736111111111114</v>
      </c>
      <c r="T29" s="32">
        <v>0.92361111111111116</v>
      </c>
      <c r="U29" s="286">
        <f t="shared" si="22"/>
        <v>59.999999999999943</v>
      </c>
      <c r="V29" s="298">
        <f t="shared" si="21"/>
        <v>81.000000000000028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-84.444444444445253</v>
      </c>
      <c r="AF29" s="289">
        <f t="shared" si="9"/>
        <v>0.95777777777777739</v>
      </c>
      <c r="AG29" s="616"/>
    </row>
    <row r="30" spans="1:33" ht="15.75" customHeight="1">
      <c r="A30" s="635" t="s">
        <v>179</v>
      </c>
      <c r="B30" s="27" t="s">
        <v>1475</v>
      </c>
      <c r="C30" s="658"/>
      <c r="D30" s="658"/>
      <c r="E30" s="290"/>
      <c r="F30" s="299"/>
      <c r="G30" s="286"/>
      <c r="H30" s="299"/>
      <c r="I30" s="21">
        <v>15.857142857142858</v>
      </c>
      <c r="J30" s="29">
        <v>2000</v>
      </c>
      <c r="K30" s="12">
        <f t="shared" si="1"/>
        <v>126.12612612612612</v>
      </c>
      <c r="L30" s="21">
        <v>15.857142857142858</v>
      </c>
      <c r="M30" s="13">
        <f>AVERAGE(M23:M29)</f>
        <v>1918.581229031493</v>
      </c>
      <c r="N30" s="12">
        <f t="shared" si="3"/>
        <v>120.99160903802208</v>
      </c>
      <c r="O30" s="14">
        <f t="shared" si="4"/>
        <v>0</v>
      </c>
      <c r="P30" s="15">
        <f t="shared" si="5"/>
        <v>-5.1345170881040474</v>
      </c>
      <c r="Q30" s="289">
        <f t="shared" si="6"/>
        <v>0.95929061451574649</v>
      </c>
      <c r="R30" s="616"/>
      <c r="S30" s="32"/>
      <c r="T30" s="32"/>
      <c r="U30" s="12"/>
      <c r="V30" s="298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-81.418770968507033</v>
      </c>
      <c r="AF30" s="289">
        <f t="shared" si="9"/>
        <v>0.95929061451574649</v>
      </c>
      <c r="AG30" s="616"/>
    </row>
    <row r="31" spans="1:33" ht="15.75" customHeight="1">
      <c r="A31" s="633" t="s">
        <v>180</v>
      </c>
      <c r="B31" s="27" t="s">
        <v>20</v>
      </c>
      <c r="C31" s="659" t="s">
        <v>21</v>
      </c>
      <c r="D31" s="659"/>
      <c r="E31" s="27">
        <v>31.29</v>
      </c>
      <c r="F31" s="299">
        <v>4700</v>
      </c>
      <c r="G31" s="286">
        <f t="shared" ref="G31:G37" si="23">E31*F31</f>
        <v>147063</v>
      </c>
      <c r="H31" s="31">
        <v>2</v>
      </c>
      <c r="I31" s="297">
        <v>18</v>
      </c>
      <c r="J31" s="29">
        <v>2400</v>
      </c>
      <c r="K31" s="12">
        <f t="shared" si="1"/>
        <v>133.33333333333334</v>
      </c>
      <c r="L31" s="297">
        <v>18</v>
      </c>
      <c r="M31" s="13">
        <f t="shared" ref="M31:M37" si="24">F31/V31*60</f>
        <v>2292.6829268292686</v>
      </c>
      <c r="N31" s="12">
        <f t="shared" si="3"/>
        <v>127.37127371273715</v>
      </c>
      <c r="O31" s="14">
        <f t="shared" si="4"/>
        <v>0</v>
      </c>
      <c r="P31" s="15">
        <f t="shared" si="5"/>
        <v>-5.9620596205961931</v>
      </c>
      <c r="Q31" s="289">
        <f t="shared" si="6"/>
        <v>0.9552845528455286</v>
      </c>
      <c r="R31" s="616">
        <f>Q38</f>
        <v>0.95398934473743213</v>
      </c>
      <c r="S31" s="32">
        <v>8.3333333333333329E-2</v>
      </c>
      <c r="T31" s="32">
        <v>0.16874999999999998</v>
      </c>
      <c r="U31" s="286"/>
      <c r="V31" s="298">
        <f t="shared" ref="V31:V37" si="25">(T31-S31)*24*60</f>
        <v>122.99999999999999</v>
      </c>
      <c r="W31" s="16">
        <f>T31</f>
        <v>0.16874999999999998</v>
      </c>
      <c r="X31" s="16">
        <f>S32</f>
        <v>0.18888888888888888</v>
      </c>
      <c r="Y31" s="16"/>
      <c r="Z31" s="16"/>
      <c r="AA31" s="612"/>
      <c r="AB31" s="612"/>
      <c r="AC31" s="18">
        <v>7</v>
      </c>
      <c r="AD31" s="18"/>
      <c r="AE31" s="14">
        <f t="shared" si="8"/>
        <v>-107.31707317073142</v>
      </c>
      <c r="AF31" s="289">
        <f t="shared" si="9"/>
        <v>0.9552845528455286</v>
      </c>
      <c r="AG31" s="616">
        <f>AF38</f>
        <v>0.95398934473743224</v>
      </c>
    </row>
    <row r="32" spans="1:33" ht="15.75" customHeight="1">
      <c r="A32" s="633" t="s">
        <v>180</v>
      </c>
      <c r="B32" s="27" t="s">
        <v>20</v>
      </c>
      <c r="C32" s="659" t="s">
        <v>22</v>
      </c>
      <c r="D32" s="659"/>
      <c r="E32" s="27">
        <v>26.37</v>
      </c>
      <c r="F32" s="299">
        <v>6255</v>
      </c>
      <c r="G32" s="286">
        <f t="shared" si="23"/>
        <v>164944.35</v>
      </c>
      <c r="H32" s="31" t="s">
        <v>40</v>
      </c>
      <c r="I32" s="297">
        <v>18</v>
      </c>
      <c r="J32" s="29">
        <v>2400</v>
      </c>
      <c r="K32" s="12">
        <f t="shared" si="1"/>
        <v>133.33333333333334</v>
      </c>
      <c r="L32" s="297">
        <v>18</v>
      </c>
      <c r="M32" s="13">
        <f t="shared" si="24"/>
        <v>2288.414634146342</v>
      </c>
      <c r="N32" s="12">
        <f t="shared" si="3"/>
        <v>127.13414634146345</v>
      </c>
      <c r="O32" s="14">
        <f t="shared" si="4"/>
        <v>0</v>
      </c>
      <c r="P32" s="15">
        <f t="shared" si="5"/>
        <v>-6.1991869918698939</v>
      </c>
      <c r="Q32" s="289">
        <f t="shared" si="6"/>
        <v>0.95350609756097582</v>
      </c>
      <c r="R32" s="616"/>
      <c r="S32" s="32">
        <v>0.18888888888888888</v>
      </c>
      <c r="T32" s="32">
        <v>0.30277777777777776</v>
      </c>
      <c r="U32" s="286">
        <f t="shared" ref="U32:U37" si="26">(S32-T31)*24*60</f>
        <v>29.000000000000018</v>
      </c>
      <c r="V32" s="298">
        <f t="shared" si="25"/>
        <v>163.99999999999997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-111.585365853658</v>
      </c>
      <c r="AF32" s="289">
        <f t="shared" si="9"/>
        <v>0.95350609756097582</v>
      </c>
      <c r="AG32" s="616"/>
    </row>
    <row r="33" spans="1:33" ht="15.75" customHeight="1">
      <c r="A33" s="633" t="s">
        <v>180</v>
      </c>
      <c r="B33" s="27" t="s">
        <v>20</v>
      </c>
      <c r="C33" s="659" t="s">
        <v>57</v>
      </c>
      <c r="D33" s="659"/>
      <c r="E33" s="27">
        <v>26.18</v>
      </c>
      <c r="F33" s="299">
        <v>4300</v>
      </c>
      <c r="G33" s="286">
        <f t="shared" si="23"/>
        <v>112574</v>
      </c>
      <c r="H33" s="31">
        <v>2</v>
      </c>
      <c r="I33" s="297">
        <v>18</v>
      </c>
      <c r="J33" s="29">
        <v>2400</v>
      </c>
      <c r="K33" s="12">
        <f t="shared" si="1"/>
        <v>133.33333333333334</v>
      </c>
      <c r="L33" s="297">
        <v>18</v>
      </c>
      <c r="M33" s="13">
        <f t="shared" si="24"/>
        <v>2283.1858407079644</v>
      </c>
      <c r="N33" s="12">
        <f t="shared" si="3"/>
        <v>126.84365781710913</v>
      </c>
      <c r="O33" s="14">
        <f t="shared" si="4"/>
        <v>0</v>
      </c>
      <c r="P33" s="15">
        <f t="shared" si="5"/>
        <v>-6.4896755162242101</v>
      </c>
      <c r="Q33" s="289">
        <f t="shared" si="6"/>
        <v>0.9513274336283184</v>
      </c>
      <c r="R33" s="616"/>
      <c r="S33" s="32">
        <v>0.30694444444444441</v>
      </c>
      <c r="T33" s="32">
        <v>0.38541666666666663</v>
      </c>
      <c r="U33" s="286">
        <f t="shared" si="26"/>
        <v>5.9999999999999787</v>
      </c>
      <c r="V33" s="298">
        <f t="shared" si="25"/>
        <v>113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-116.81415929203558</v>
      </c>
      <c r="AF33" s="289">
        <f t="shared" si="9"/>
        <v>0.95132743362831851</v>
      </c>
      <c r="AG33" s="616"/>
    </row>
    <row r="34" spans="1:33" ht="15.75" customHeight="1">
      <c r="A34" s="633" t="s">
        <v>180</v>
      </c>
      <c r="B34" s="27" t="s">
        <v>20</v>
      </c>
      <c r="C34" s="659" t="s">
        <v>59</v>
      </c>
      <c r="D34" s="659"/>
      <c r="E34" s="27">
        <v>25.99</v>
      </c>
      <c r="F34" s="299">
        <v>1451</v>
      </c>
      <c r="G34" s="286">
        <f t="shared" si="23"/>
        <v>37711.49</v>
      </c>
      <c r="H34" s="31" t="s">
        <v>40</v>
      </c>
      <c r="I34" s="297">
        <v>18</v>
      </c>
      <c r="J34" s="29">
        <v>2400</v>
      </c>
      <c r="K34" s="12">
        <f t="shared" si="1"/>
        <v>133.33333333333334</v>
      </c>
      <c r="L34" s="297">
        <v>18</v>
      </c>
      <c r="M34" s="13">
        <f t="shared" si="24"/>
        <v>2291.0526315789457</v>
      </c>
      <c r="N34" s="12">
        <f t="shared" si="3"/>
        <v>127.28070175438587</v>
      </c>
      <c r="O34" s="14">
        <f t="shared" si="4"/>
        <v>0</v>
      </c>
      <c r="P34" s="15">
        <f t="shared" si="5"/>
        <v>-6.0526315789474694</v>
      </c>
      <c r="Q34" s="289">
        <f t="shared" si="6"/>
        <v>0.95460526315789396</v>
      </c>
      <c r="R34" s="616"/>
      <c r="S34" s="32">
        <v>0.39097222222222217</v>
      </c>
      <c r="T34" s="32">
        <v>0.41736111111111107</v>
      </c>
      <c r="U34" s="286">
        <f t="shared" si="26"/>
        <v>7.9999999999999716</v>
      </c>
      <c r="V34" s="298">
        <f t="shared" si="25"/>
        <v>38.000000000000028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-108.94736842105431</v>
      </c>
      <c r="AF34" s="289">
        <f t="shared" si="9"/>
        <v>0.95460526315789407</v>
      </c>
      <c r="AG34" s="616"/>
    </row>
    <row r="35" spans="1:33" ht="15.75" customHeight="1">
      <c r="A35" s="633" t="s">
        <v>180</v>
      </c>
      <c r="B35" s="27" t="s">
        <v>20</v>
      </c>
      <c r="C35" s="659" t="s">
        <v>23</v>
      </c>
      <c r="D35" s="659"/>
      <c r="E35" s="27">
        <v>25.99</v>
      </c>
      <c r="F35" s="299">
        <v>3880</v>
      </c>
      <c r="G35" s="286">
        <f t="shared" si="23"/>
        <v>100841.2</v>
      </c>
      <c r="H35" s="31" t="s">
        <v>40</v>
      </c>
      <c r="I35" s="297">
        <v>14</v>
      </c>
      <c r="J35" s="29">
        <v>2400</v>
      </c>
      <c r="K35" s="12">
        <f t="shared" si="1"/>
        <v>171.42857142857142</v>
      </c>
      <c r="L35" s="297">
        <v>14</v>
      </c>
      <c r="M35" s="13">
        <f t="shared" si="24"/>
        <v>2304.9504950495057</v>
      </c>
      <c r="N35" s="12">
        <f t="shared" si="3"/>
        <v>164.6393210749647</v>
      </c>
      <c r="O35" s="14">
        <f t="shared" si="4"/>
        <v>0</v>
      </c>
      <c r="P35" s="15">
        <f t="shared" si="5"/>
        <v>-6.7892503536067181</v>
      </c>
      <c r="Q35" s="289">
        <f t="shared" si="6"/>
        <v>0.9603960396039608</v>
      </c>
      <c r="R35" s="616"/>
      <c r="S35" s="32">
        <v>0.42291666666666661</v>
      </c>
      <c r="T35" s="32">
        <v>0.49305555555555547</v>
      </c>
      <c r="U35" s="286">
        <f t="shared" si="26"/>
        <v>7.9999999999999716</v>
      </c>
      <c r="V35" s="298">
        <f t="shared" si="25"/>
        <v>100.99999999999996</v>
      </c>
      <c r="W35" s="16">
        <f>T35</f>
        <v>0.49305555555555547</v>
      </c>
      <c r="X35" s="16">
        <f>S36</f>
        <v>0.53194444444444433</v>
      </c>
      <c r="Y35" s="16"/>
      <c r="Z35" s="16"/>
      <c r="AA35" s="612"/>
      <c r="AB35" s="612"/>
      <c r="AC35" s="18"/>
      <c r="AD35" s="18"/>
      <c r="AE35" s="14">
        <f t="shared" si="8"/>
        <v>-95.049504950494338</v>
      </c>
      <c r="AF35" s="289">
        <f t="shared" si="9"/>
        <v>0.96039603960396069</v>
      </c>
      <c r="AG35" s="616"/>
    </row>
    <row r="36" spans="1:33" ht="15.75" customHeight="1">
      <c r="A36" s="633" t="s">
        <v>180</v>
      </c>
      <c r="B36" s="27" t="s">
        <v>20</v>
      </c>
      <c r="C36" s="659" t="s">
        <v>21</v>
      </c>
      <c r="D36" s="659"/>
      <c r="E36" s="27">
        <v>31.29</v>
      </c>
      <c r="F36" s="299">
        <v>4492</v>
      </c>
      <c r="G36" s="286">
        <f t="shared" si="23"/>
        <v>140554.68</v>
      </c>
      <c r="H36" s="31" t="s">
        <v>40</v>
      </c>
      <c r="I36" s="297">
        <v>18</v>
      </c>
      <c r="J36" s="29">
        <v>2400</v>
      </c>
      <c r="K36" s="12">
        <f t="shared" si="1"/>
        <v>133.33333333333334</v>
      </c>
      <c r="L36" s="297">
        <v>18</v>
      </c>
      <c r="M36" s="13">
        <f t="shared" si="24"/>
        <v>2284.0677966101684</v>
      </c>
      <c r="N36" s="12">
        <f t="shared" si="3"/>
        <v>126.89265536723158</v>
      </c>
      <c r="O36" s="14">
        <f t="shared" si="4"/>
        <v>0</v>
      </c>
      <c r="P36" s="15">
        <f t="shared" si="5"/>
        <v>-6.4406779661017595</v>
      </c>
      <c r="Q36" s="289">
        <f t="shared" si="6"/>
        <v>0.95169491525423677</v>
      </c>
      <c r="R36" s="616"/>
      <c r="S36" s="32">
        <v>0.53194444444444433</v>
      </c>
      <c r="T36" s="32">
        <v>0.61388888888888882</v>
      </c>
      <c r="U36" s="286">
        <f t="shared" si="26"/>
        <v>55.999999999999957</v>
      </c>
      <c r="V36" s="298">
        <f t="shared" si="25"/>
        <v>118.00000000000006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-115.93220338983156</v>
      </c>
      <c r="AF36" s="289">
        <f t="shared" si="9"/>
        <v>0.95169491525423688</v>
      </c>
      <c r="AG36" s="616"/>
    </row>
    <row r="37" spans="1:33" ht="15.75" customHeight="1">
      <c r="A37" s="633" t="s">
        <v>180</v>
      </c>
      <c r="B37" s="27" t="s">
        <v>20</v>
      </c>
      <c r="C37" s="659" t="s">
        <v>57</v>
      </c>
      <c r="D37" s="659"/>
      <c r="E37" s="27">
        <v>26.18</v>
      </c>
      <c r="F37" s="299">
        <v>3424</v>
      </c>
      <c r="G37" s="286">
        <f t="shared" si="23"/>
        <v>89640.319999999992</v>
      </c>
      <c r="H37" s="31" t="s">
        <v>40</v>
      </c>
      <c r="I37" s="297">
        <v>18</v>
      </c>
      <c r="J37" s="29">
        <v>2400</v>
      </c>
      <c r="K37" s="12">
        <f t="shared" si="1"/>
        <v>133.33333333333334</v>
      </c>
      <c r="L37" s="297">
        <v>18</v>
      </c>
      <c r="M37" s="13">
        <f t="shared" si="24"/>
        <v>2282.6666666666665</v>
      </c>
      <c r="N37" s="12">
        <f t="shared" si="3"/>
        <v>126.81481481481481</v>
      </c>
      <c r="O37" s="14">
        <f t="shared" si="4"/>
        <v>0</v>
      </c>
      <c r="P37" s="15">
        <f t="shared" si="5"/>
        <v>-6.5185185185185333</v>
      </c>
      <c r="Q37" s="289">
        <f t="shared" si="6"/>
        <v>0.95111111111111102</v>
      </c>
      <c r="R37" s="616"/>
      <c r="S37" s="32">
        <v>0.61944444444444435</v>
      </c>
      <c r="T37" s="32">
        <v>0.68194444444444435</v>
      </c>
      <c r="U37" s="286">
        <f t="shared" si="26"/>
        <v>7.9999999999999716</v>
      </c>
      <c r="V37" s="298">
        <f t="shared" si="25"/>
        <v>90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-117.33333333333348</v>
      </c>
      <c r="AF37" s="289">
        <f t="shared" si="9"/>
        <v>0.95111111111111102</v>
      </c>
      <c r="AG37" s="616"/>
    </row>
    <row r="38" spans="1:33" ht="15.75" customHeight="1">
      <c r="A38" s="633" t="s">
        <v>180</v>
      </c>
      <c r="B38" s="27" t="s">
        <v>70</v>
      </c>
      <c r="C38" s="658"/>
      <c r="D38" s="658"/>
      <c r="E38" s="290"/>
      <c r="F38" s="299"/>
      <c r="G38" s="286"/>
      <c r="H38" s="299"/>
      <c r="I38" s="21">
        <v>17.428571428571427</v>
      </c>
      <c r="J38" s="29">
        <v>2400</v>
      </c>
      <c r="K38" s="12">
        <f t="shared" si="1"/>
        <v>137.70491803278691</v>
      </c>
      <c r="L38" s="21">
        <v>17.428571428571427</v>
      </c>
      <c r="M38" s="13">
        <f>AVERAGE(M31:M37)</f>
        <v>2289.5744273698374</v>
      </c>
      <c r="N38" s="12">
        <f t="shared" si="3"/>
        <v>131.36902452122018</v>
      </c>
      <c r="O38" s="14">
        <f t="shared" si="4"/>
        <v>0</v>
      </c>
      <c r="P38" s="15">
        <f t="shared" si="5"/>
        <v>-6.3358935115667236</v>
      </c>
      <c r="Q38" s="289">
        <f t="shared" si="6"/>
        <v>0.95398934473743213</v>
      </c>
      <c r="R38" s="616"/>
      <c r="S38" s="32"/>
      <c r="T38" s="32"/>
      <c r="U38" s="286"/>
      <c r="V38" s="298"/>
      <c r="W38" s="286"/>
      <c r="X38" s="286"/>
      <c r="Y38" s="22">
        <f>SUM(Y31:Y37)</f>
        <v>0</v>
      </c>
      <c r="Z38" s="22">
        <f>SUM(Z31:Z37)</f>
        <v>0</v>
      </c>
      <c r="AA38" s="611"/>
      <c r="AB38" s="611"/>
      <c r="AC38" s="22">
        <v>7</v>
      </c>
      <c r="AD38" s="22">
        <f>SUM(AD31:AD37)</f>
        <v>0</v>
      </c>
      <c r="AE38" s="14">
        <f t="shared" si="8"/>
        <v>-110.42557263016261</v>
      </c>
      <c r="AF38" s="289">
        <f t="shared" si="9"/>
        <v>0.95398934473743224</v>
      </c>
      <c r="AG38" s="616"/>
    </row>
    <row r="39" spans="1:33" ht="15.75" customHeight="1">
      <c r="A39" s="629" t="s">
        <v>181</v>
      </c>
      <c r="B39" s="27" t="s">
        <v>20</v>
      </c>
      <c r="C39" s="660" t="s">
        <v>58</v>
      </c>
      <c r="D39" s="660"/>
      <c r="E39" s="27">
        <v>26.18</v>
      </c>
      <c r="F39" s="299">
        <v>4000</v>
      </c>
      <c r="G39" s="286">
        <f t="shared" ref="G39:G46" si="27">E39*F39</f>
        <v>104720</v>
      </c>
      <c r="H39" s="31">
        <v>2</v>
      </c>
      <c r="I39" s="297">
        <v>20</v>
      </c>
      <c r="J39" s="29">
        <v>2400</v>
      </c>
      <c r="K39" s="12">
        <f t="shared" si="1"/>
        <v>120</v>
      </c>
      <c r="L39" s="297">
        <v>20</v>
      </c>
      <c r="M39" s="13">
        <f t="shared" ref="M39:M46" si="28">F39/V39*60</f>
        <v>2285.7142857142858</v>
      </c>
      <c r="N39" s="12">
        <f t="shared" si="3"/>
        <v>114.28571428571429</v>
      </c>
      <c r="O39" s="14">
        <f t="shared" si="4"/>
        <v>0</v>
      </c>
      <c r="P39" s="15">
        <f t="shared" si="5"/>
        <v>-5.7142857142857082</v>
      </c>
      <c r="Q39" s="289">
        <f t="shared" si="6"/>
        <v>0.95238095238095244</v>
      </c>
      <c r="R39" s="616">
        <f>Q47</f>
        <v>0.95575336839416691</v>
      </c>
      <c r="S39" s="32">
        <v>8.3333333333333329E-2</v>
      </c>
      <c r="T39" s="32">
        <v>0.15625</v>
      </c>
      <c r="U39" s="286"/>
      <c r="V39" s="298">
        <f t="shared" ref="V39:V46" si="29">(T39-S39)*24*60</f>
        <v>105</v>
      </c>
      <c r="W39" s="20">
        <f>T39</f>
        <v>0.15625</v>
      </c>
      <c r="X39" s="20">
        <f>S40</f>
        <v>0.17430555555555555</v>
      </c>
      <c r="Y39" s="20"/>
      <c r="Z39" s="20"/>
      <c r="AA39" s="612"/>
      <c r="AB39" s="612"/>
      <c r="AC39" s="18">
        <v>8</v>
      </c>
      <c r="AD39" s="18"/>
      <c r="AE39" s="14">
        <f t="shared" si="8"/>
        <v>-114.28571428571422</v>
      </c>
      <c r="AF39" s="289">
        <f t="shared" si="9"/>
        <v>0.95238095238095244</v>
      </c>
      <c r="AG39" s="616">
        <f>AF47</f>
        <v>0.95575336839416691</v>
      </c>
    </row>
    <row r="40" spans="1:33" ht="15.75" customHeight="1">
      <c r="A40" s="629" t="s">
        <v>181</v>
      </c>
      <c r="B40" s="27" t="s">
        <v>20</v>
      </c>
      <c r="C40" s="660" t="s">
        <v>25</v>
      </c>
      <c r="D40" s="660"/>
      <c r="E40" s="27">
        <v>24.43</v>
      </c>
      <c r="F40" s="299">
        <v>4000</v>
      </c>
      <c r="G40" s="286">
        <f t="shared" si="27"/>
        <v>97720</v>
      </c>
      <c r="H40" s="31">
        <v>2</v>
      </c>
      <c r="I40" s="297">
        <v>14</v>
      </c>
      <c r="J40" s="29">
        <v>2400</v>
      </c>
      <c r="K40" s="12">
        <f t="shared" si="1"/>
        <v>171.42857142857142</v>
      </c>
      <c r="L40" s="297">
        <v>14</v>
      </c>
      <c r="M40" s="13">
        <f t="shared" si="28"/>
        <v>2285.7142857142853</v>
      </c>
      <c r="N40" s="12">
        <f t="shared" si="3"/>
        <v>163.26530612244895</v>
      </c>
      <c r="O40" s="14">
        <f t="shared" si="4"/>
        <v>0</v>
      </c>
      <c r="P40" s="15">
        <f t="shared" si="5"/>
        <v>-8.1632653061224687</v>
      </c>
      <c r="Q40" s="289">
        <f t="shared" si="6"/>
        <v>0.95238095238095222</v>
      </c>
      <c r="R40" s="616"/>
      <c r="S40" s="32">
        <v>0.17430555555555555</v>
      </c>
      <c r="T40" s="32">
        <v>0.24722222222222223</v>
      </c>
      <c r="U40" s="286">
        <f t="shared" ref="U40:U46" si="30">(S40-T39)*24*60</f>
        <v>25.999999999999986</v>
      </c>
      <c r="V40" s="298">
        <f t="shared" si="29"/>
        <v>105.00000000000003</v>
      </c>
      <c r="W40" s="286"/>
      <c r="X40" s="286"/>
      <c r="Y40" s="286"/>
      <c r="Z40" s="286"/>
      <c r="AA40" s="612"/>
      <c r="AB40" s="612"/>
      <c r="AC40" s="18"/>
      <c r="AD40" s="18"/>
      <c r="AE40" s="14">
        <f t="shared" si="8"/>
        <v>-114.28571428571468</v>
      </c>
      <c r="AF40" s="289">
        <f t="shared" si="9"/>
        <v>0.95238095238095222</v>
      </c>
      <c r="AG40" s="616"/>
    </row>
    <row r="41" spans="1:33">
      <c r="A41" s="630" t="s">
        <v>181</v>
      </c>
      <c r="B41" s="27" t="s">
        <v>20</v>
      </c>
      <c r="C41" s="660" t="s">
        <v>83</v>
      </c>
      <c r="D41" s="660"/>
      <c r="E41" s="27">
        <v>25.98</v>
      </c>
      <c r="F41" s="299">
        <v>4178</v>
      </c>
      <c r="G41" s="286">
        <f t="shared" si="27"/>
        <v>108544.44</v>
      </c>
      <c r="H41" s="31" t="s">
        <v>40</v>
      </c>
      <c r="I41" s="297">
        <v>20</v>
      </c>
      <c r="J41" s="29">
        <v>2400</v>
      </c>
      <c r="K41" s="12">
        <f t="shared" si="1"/>
        <v>120</v>
      </c>
      <c r="L41" s="297">
        <v>20</v>
      </c>
      <c r="M41" s="13">
        <f t="shared" si="28"/>
        <v>2299.8165137614678</v>
      </c>
      <c r="N41" s="12">
        <f t="shared" si="3"/>
        <v>114.99082568807339</v>
      </c>
      <c r="O41" s="14">
        <f t="shared" si="4"/>
        <v>0</v>
      </c>
      <c r="P41" s="15">
        <f t="shared" si="5"/>
        <v>-5.0091743119266141</v>
      </c>
      <c r="Q41" s="289">
        <f t="shared" si="6"/>
        <v>0.95825688073394488</v>
      </c>
      <c r="R41" s="616"/>
      <c r="S41" s="32">
        <v>0.25069444444444444</v>
      </c>
      <c r="T41" s="32">
        <v>0.3263888888888889</v>
      </c>
      <c r="U41" s="286">
        <f t="shared" si="30"/>
        <v>4.9999999999999822</v>
      </c>
      <c r="V41" s="298">
        <f t="shared" si="29"/>
        <v>109.00000000000001</v>
      </c>
      <c r="W41" s="286"/>
      <c r="X41" s="286"/>
      <c r="Y41" s="286"/>
      <c r="Z41" s="286"/>
      <c r="AA41" s="612"/>
      <c r="AB41" s="612"/>
      <c r="AC41" s="18"/>
      <c r="AD41" s="18"/>
      <c r="AE41" s="14">
        <f t="shared" si="8"/>
        <v>-100.18348623853217</v>
      </c>
      <c r="AF41" s="289">
        <f t="shared" si="9"/>
        <v>0.95825688073394488</v>
      </c>
      <c r="AG41" s="616"/>
    </row>
    <row r="42" spans="1:33">
      <c r="A42" s="630" t="s">
        <v>181</v>
      </c>
      <c r="B42" s="27" t="s">
        <v>20</v>
      </c>
      <c r="C42" s="660" t="s">
        <v>26</v>
      </c>
      <c r="D42" s="660"/>
      <c r="E42" s="27">
        <v>34.1</v>
      </c>
      <c r="F42" s="299">
        <v>3800</v>
      </c>
      <c r="G42" s="286">
        <f t="shared" si="27"/>
        <v>129580</v>
      </c>
      <c r="H42" s="31">
        <v>2</v>
      </c>
      <c r="I42" s="297">
        <v>17</v>
      </c>
      <c r="J42" s="29">
        <v>1600</v>
      </c>
      <c r="K42" s="12">
        <f t="shared" si="1"/>
        <v>94.117647058823536</v>
      </c>
      <c r="L42" s="297">
        <v>17</v>
      </c>
      <c r="M42" s="13">
        <f t="shared" si="28"/>
        <v>1530.2013422818789</v>
      </c>
      <c r="N42" s="12">
        <f t="shared" si="3"/>
        <v>90.011843663639937</v>
      </c>
      <c r="O42" s="14">
        <f t="shared" si="4"/>
        <v>0</v>
      </c>
      <c r="P42" s="15">
        <f t="shared" si="5"/>
        <v>-4.1058033951835995</v>
      </c>
      <c r="Q42" s="289">
        <f t="shared" si="6"/>
        <v>0.95637583892617428</v>
      </c>
      <c r="R42" s="616"/>
      <c r="S42" s="32">
        <v>0.3298611111111111</v>
      </c>
      <c r="T42" s="32">
        <v>0.43333333333333335</v>
      </c>
      <c r="U42" s="286">
        <f t="shared" si="30"/>
        <v>4.9999999999999822</v>
      </c>
      <c r="V42" s="298">
        <f t="shared" si="29"/>
        <v>149.00000000000003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-69.798657718121149</v>
      </c>
      <c r="AF42" s="289">
        <f t="shared" si="9"/>
        <v>0.95637583892617428</v>
      </c>
      <c r="AG42" s="616"/>
    </row>
    <row r="43" spans="1:33">
      <c r="A43" s="630" t="s">
        <v>181</v>
      </c>
      <c r="B43" s="27" t="s">
        <v>20</v>
      </c>
      <c r="C43" s="660" t="s">
        <v>64</v>
      </c>
      <c r="D43" s="660"/>
      <c r="E43" s="27">
        <v>20.21</v>
      </c>
      <c r="F43" s="299">
        <v>2745</v>
      </c>
      <c r="G43" s="286">
        <f t="shared" si="27"/>
        <v>55476.450000000004</v>
      </c>
      <c r="H43" s="31" t="s">
        <v>40</v>
      </c>
      <c r="I43" s="297">
        <v>18</v>
      </c>
      <c r="J43" s="29">
        <v>2400</v>
      </c>
      <c r="K43" s="12">
        <f t="shared" si="1"/>
        <v>133.33333333333334</v>
      </c>
      <c r="L43" s="297">
        <v>18</v>
      </c>
      <c r="M43" s="13">
        <f t="shared" si="28"/>
        <v>2287.5000000000005</v>
      </c>
      <c r="N43" s="12">
        <f t="shared" si="3"/>
        <v>127.08333333333336</v>
      </c>
      <c r="O43" s="14">
        <f t="shared" si="4"/>
        <v>0</v>
      </c>
      <c r="P43" s="15">
        <f t="shared" si="5"/>
        <v>-6.2499999999999858</v>
      </c>
      <c r="Q43" s="289">
        <f t="shared" si="6"/>
        <v>0.95312500000000011</v>
      </c>
      <c r="R43" s="616"/>
      <c r="S43" s="32">
        <v>0.43680555555555556</v>
      </c>
      <c r="T43" s="32">
        <v>0.48680555555555555</v>
      </c>
      <c r="U43" s="286">
        <f t="shared" si="30"/>
        <v>4.9999999999999822</v>
      </c>
      <c r="V43" s="298">
        <f t="shared" si="29"/>
        <v>71.999999999999986</v>
      </c>
      <c r="W43" s="16">
        <f>T43</f>
        <v>0.48680555555555555</v>
      </c>
      <c r="X43" s="16">
        <f>S44</f>
        <v>0.52777777777777768</v>
      </c>
      <c r="Y43" s="16"/>
      <c r="Z43" s="16"/>
      <c r="AA43" s="612"/>
      <c r="AB43" s="612"/>
      <c r="AC43" s="18"/>
      <c r="AD43" s="18"/>
      <c r="AE43" s="14">
        <f t="shared" si="8"/>
        <v>-112.49999999999955</v>
      </c>
      <c r="AF43" s="289">
        <f t="shared" si="9"/>
        <v>0.95312500000000022</v>
      </c>
      <c r="AG43" s="616"/>
    </row>
    <row r="44" spans="1:33">
      <c r="A44" s="630" t="s">
        <v>181</v>
      </c>
      <c r="B44" s="27" t="s">
        <v>20</v>
      </c>
      <c r="C44" s="660" t="s">
        <v>58</v>
      </c>
      <c r="D44" s="660"/>
      <c r="E44" s="27">
        <v>26.18</v>
      </c>
      <c r="F44" s="299">
        <v>2036</v>
      </c>
      <c r="G44" s="286">
        <f t="shared" si="27"/>
        <v>53302.479999999996</v>
      </c>
      <c r="H44" s="31" t="s">
        <v>40</v>
      </c>
      <c r="I44" s="297">
        <v>20</v>
      </c>
      <c r="J44" s="29">
        <v>2400</v>
      </c>
      <c r="K44" s="12">
        <f t="shared" si="1"/>
        <v>120</v>
      </c>
      <c r="L44" s="297">
        <v>20</v>
      </c>
      <c r="M44" s="13">
        <f t="shared" si="28"/>
        <v>2304.9056603773597</v>
      </c>
      <c r="N44" s="12">
        <f t="shared" si="3"/>
        <v>115.24528301886798</v>
      </c>
      <c r="O44" s="14">
        <f t="shared" si="4"/>
        <v>0</v>
      </c>
      <c r="P44" s="15">
        <f t="shared" si="5"/>
        <v>-4.7547169811320202</v>
      </c>
      <c r="Q44" s="289">
        <f t="shared" si="6"/>
        <v>0.96037735849056649</v>
      </c>
      <c r="R44" s="616"/>
      <c r="S44" s="32">
        <v>0.52777777777777768</v>
      </c>
      <c r="T44" s="32">
        <v>0.56458333333333321</v>
      </c>
      <c r="U44" s="286">
        <f t="shared" si="30"/>
        <v>58.999999999999872</v>
      </c>
      <c r="V44" s="298">
        <f t="shared" si="29"/>
        <v>52.999999999999972</v>
      </c>
      <c r="W44" s="16"/>
      <c r="X44" s="16"/>
      <c r="Y44" s="16"/>
      <c r="Z44" s="16"/>
      <c r="AA44" s="612"/>
      <c r="AB44" s="612"/>
      <c r="AC44" s="18"/>
      <c r="AD44" s="18"/>
      <c r="AE44" s="14">
        <f t="shared" si="8"/>
        <v>-95.094339622640291</v>
      </c>
      <c r="AF44" s="289">
        <f t="shared" si="9"/>
        <v>0.96037735849056649</v>
      </c>
      <c r="AG44" s="616"/>
    </row>
    <row r="45" spans="1:33">
      <c r="A45" s="630" t="s">
        <v>181</v>
      </c>
      <c r="B45" s="27" t="s">
        <v>20</v>
      </c>
      <c r="C45" s="660" t="s">
        <v>26</v>
      </c>
      <c r="D45" s="660"/>
      <c r="E45" s="27">
        <v>34.1</v>
      </c>
      <c r="F45" s="299">
        <v>2617</v>
      </c>
      <c r="G45" s="286">
        <f t="shared" si="27"/>
        <v>89239.7</v>
      </c>
      <c r="H45" s="31" t="s">
        <v>40</v>
      </c>
      <c r="I45" s="297">
        <v>17</v>
      </c>
      <c r="J45" s="29">
        <v>1600</v>
      </c>
      <c r="K45" s="12">
        <f t="shared" si="1"/>
        <v>94.117647058823536</v>
      </c>
      <c r="L45" s="297">
        <v>17</v>
      </c>
      <c r="M45" s="13">
        <f t="shared" si="28"/>
        <v>1524.4660194174762</v>
      </c>
      <c r="N45" s="12">
        <f t="shared" si="3"/>
        <v>89.674471730439777</v>
      </c>
      <c r="O45" s="14">
        <f t="shared" si="4"/>
        <v>0</v>
      </c>
      <c r="P45" s="15">
        <f t="shared" si="5"/>
        <v>-4.4431753283837594</v>
      </c>
      <c r="Q45" s="289">
        <f t="shared" si="6"/>
        <v>0.95279126213592258</v>
      </c>
      <c r="R45" s="616"/>
      <c r="S45" s="32">
        <v>0.57013888888888875</v>
      </c>
      <c r="T45" s="32">
        <v>0.6416666666666665</v>
      </c>
      <c r="U45" s="286">
        <f t="shared" si="30"/>
        <v>7.9999999999999716</v>
      </c>
      <c r="V45" s="298">
        <f t="shared" si="29"/>
        <v>102.99999999999996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-75.533980582523782</v>
      </c>
      <c r="AF45" s="289">
        <f t="shared" si="9"/>
        <v>0.95279126213592269</v>
      </c>
      <c r="AG45" s="616"/>
    </row>
    <row r="46" spans="1:33">
      <c r="A46" s="630" t="s">
        <v>181</v>
      </c>
      <c r="B46" s="27" t="s">
        <v>20</v>
      </c>
      <c r="C46" s="660" t="s">
        <v>25</v>
      </c>
      <c r="D46" s="660"/>
      <c r="E46" s="27">
        <v>24.43</v>
      </c>
      <c r="F46" s="299">
        <v>2610</v>
      </c>
      <c r="G46" s="286">
        <f t="shared" si="27"/>
        <v>63762.299999999996</v>
      </c>
      <c r="H46" s="31" t="s">
        <v>40</v>
      </c>
      <c r="I46" s="297">
        <v>14</v>
      </c>
      <c r="J46" s="29">
        <v>2400</v>
      </c>
      <c r="K46" s="12">
        <f t="shared" si="1"/>
        <v>171.42857142857142</v>
      </c>
      <c r="L46" s="297">
        <v>14</v>
      </c>
      <c r="M46" s="13">
        <f t="shared" si="28"/>
        <v>2302.9411764705851</v>
      </c>
      <c r="N46" s="12">
        <f t="shared" si="3"/>
        <v>164.49579831932752</v>
      </c>
      <c r="O46" s="14">
        <f t="shared" si="4"/>
        <v>0</v>
      </c>
      <c r="P46" s="15">
        <f t="shared" si="5"/>
        <v>-6.9327731092438967</v>
      </c>
      <c r="Q46" s="289">
        <f t="shared" si="6"/>
        <v>0.95955882352941058</v>
      </c>
      <c r="R46" s="616"/>
      <c r="S46" s="32">
        <v>0.64652777777777759</v>
      </c>
      <c r="T46" s="32">
        <v>0.69374999999999987</v>
      </c>
      <c r="U46" s="286">
        <f t="shared" si="30"/>
        <v>6.9999999999999751</v>
      </c>
      <c r="V46" s="298">
        <f t="shared" si="29"/>
        <v>68.000000000000085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-97.058823529414894</v>
      </c>
      <c r="AF46" s="289">
        <f t="shared" si="9"/>
        <v>0.95955882352941047</v>
      </c>
      <c r="AG46" s="616"/>
    </row>
    <row r="47" spans="1:33">
      <c r="A47" s="630" t="s">
        <v>181</v>
      </c>
      <c r="B47" s="28" t="s">
        <v>70</v>
      </c>
      <c r="C47" s="658"/>
      <c r="D47" s="658"/>
      <c r="E47" s="290"/>
      <c r="F47" s="28"/>
      <c r="G47" s="12"/>
      <c r="H47" s="299"/>
      <c r="I47" s="21">
        <v>17.5</v>
      </c>
      <c r="J47" s="29">
        <v>2200</v>
      </c>
      <c r="K47" s="12">
        <f t="shared" si="1"/>
        <v>125.71428571428571</v>
      </c>
      <c r="L47" s="21">
        <v>17.5</v>
      </c>
      <c r="M47" s="13">
        <f>AVERAGE(M39:M46)</f>
        <v>2102.6574104671672</v>
      </c>
      <c r="N47" s="12">
        <f t="shared" si="3"/>
        <v>120.15185202669527</v>
      </c>
      <c r="O47" s="14">
        <f t="shared" si="4"/>
        <v>0</v>
      </c>
      <c r="P47" s="15">
        <f t="shared" si="5"/>
        <v>-5.5624336875904419</v>
      </c>
      <c r="Q47" s="289">
        <f t="shared" si="6"/>
        <v>0.95575336839416691</v>
      </c>
      <c r="R47" s="616"/>
      <c r="S47" s="32"/>
      <c r="T47" s="32"/>
      <c r="U47" s="12"/>
      <c r="V47" s="298"/>
      <c r="W47" s="12"/>
      <c r="X47" s="12"/>
      <c r="Y47" s="22">
        <f>SUM(Y39:Y46)</f>
        <v>0</v>
      </c>
      <c r="Z47" s="22">
        <f>SUM(Z39:Z46)</f>
        <v>0</v>
      </c>
      <c r="AA47" s="611"/>
      <c r="AB47" s="611"/>
      <c r="AC47" s="22">
        <v>8</v>
      </c>
      <c r="AD47" s="22">
        <f>SUM(AD39:AD46)</f>
        <v>0</v>
      </c>
      <c r="AE47" s="14">
        <f t="shared" si="8"/>
        <v>-97.34258953283279</v>
      </c>
      <c r="AF47" s="289">
        <f t="shared" si="9"/>
        <v>0.95575336839416691</v>
      </c>
      <c r="AG47" s="616"/>
    </row>
    <row r="48" spans="1:33" ht="15.75" customHeight="1">
      <c r="A48" s="623" t="s">
        <v>75</v>
      </c>
      <c r="B48" s="27" t="s">
        <v>27</v>
      </c>
      <c r="C48" s="605" t="s">
        <v>33</v>
      </c>
      <c r="D48" s="606"/>
      <c r="E48" s="27">
        <v>34.36</v>
      </c>
      <c r="F48" s="299">
        <v>2170</v>
      </c>
      <c r="G48" s="286">
        <f t="shared" ref="G48:G51" si="31">E48*F48</f>
        <v>74561.2</v>
      </c>
      <c r="H48" s="31" t="s">
        <v>40</v>
      </c>
      <c r="I48" s="297">
        <v>10</v>
      </c>
      <c r="J48" s="29">
        <v>3000</v>
      </c>
      <c r="K48" s="12">
        <f t="shared" si="1"/>
        <v>300</v>
      </c>
      <c r="L48" s="297">
        <v>10</v>
      </c>
      <c r="M48" s="13">
        <f t="shared" ref="M48:M51" si="32">F48/V48*60</f>
        <v>2893.3333333333335</v>
      </c>
      <c r="N48" s="13">
        <f t="shared" si="3"/>
        <v>289.33333333333337</v>
      </c>
      <c r="O48" s="14">
        <f t="shared" si="4"/>
        <v>0</v>
      </c>
      <c r="P48" s="15">
        <f t="shared" si="5"/>
        <v>-10.666666666666629</v>
      </c>
      <c r="Q48" s="289">
        <f t="shared" si="6"/>
        <v>0.96444444444444455</v>
      </c>
      <c r="R48" s="626">
        <f>Q52</f>
        <v>0.95789045170397247</v>
      </c>
      <c r="S48" s="32">
        <v>0.20833333333333334</v>
      </c>
      <c r="T48" s="32">
        <v>0.23958333333333334</v>
      </c>
      <c r="U48" s="20"/>
      <c r="V48" s="298">
        <f t="shared" ref="V48:V51" si="33">(T48-S48)*24*60</f>
        <v>45</v>
      </c>
      <c r="W48" s="16"/>
      <c r="X48" s="16"/>
      <c r="Y48" s="19"/>
      <c r="Z48" s="19"/>
      <c r="AA48" s="607"/>
      <c r="AB48" s="608"/>
      <c r="AC48" s="18">
        <v>4</v>
      </c>
      <c r="AD48" s="18"/>
      <c r="AE48" s="14">
        <f t="shared" si="8"/>
        <v>-106.66666666666652</v>
      </c>
      <c r="AF48" s="289">
        <f t="shared" si="9"/>
        <v>0.96444444444444455</v>
      </c>
      <c r="AG48" s="626">
        <f>AF52</f>
        <v>0.95789045170397247</v>
      </c>
    </row>
    <row r="49" spans="1:33" ht="15.75" customHeight="1">
      <c r="A49" s="624" t="s">
        <v>1476</v>
      </c>
      <c r="B49" s="27" t="s">
        <v>27</v>
      </c>
      <c r="C49" s="605" t="s">
        <v>29</v>
      </c>
      <c r="D49" s="606"/>
      <c r="E49" s="27">
        <v>21.13</v>
      </c>
      <c r="F49" s="299">
        <v>5431</v>
      </c>
      <c r="G49" s="286">
        <f t="shared" si="31"/>
        <v>114757.03</v>
      </c>
      <c r="H49" s="31" t="s">
        <v>40</v>
      </c>
      <c r="I49" s="297">
        <v>10</v>
      </c>
      <c r="J49" s="29">
        <v>3000</v>
      </c>
      <c r="K49" s="12">
        <f t="shared" si="1"/>
        <v>300</v>
      </c>
      <c r="L49" s="297">
        <v>10</v>
      </c>
      <c r="M49" s="13">
        <f t="shared" si="32"/>
        <v>2858.4210526315787</v>
      </c>
      <c r="N49" s="13">
        <f t="shared" si="3"/>
        <v>285.84210526315786</v>
      </c>
      <c r="O49" s="14">
        <f t="shared" si="4"/>
        <v>0</v>
      </c>
      <c r="P49" s="15">
        <f t="shared" si="5"/>
        <v>-14.157894736842138</v>
      </c>
      <c r="Q49" s="289">
        <f t="shared" si="6"/>
        <v>0.95280701754385955</v>
      </c>
      <c r="R49" s="627"/>
      <c r="S49" s="32">
        <v>0.24513888888888891</v>
      </c>
      <c r="T49" s="32">
        <v>0.32430555555555557</v>
      </c>
      <c r="U49" s="286">
        <f t="shared" ref="U49:U51" si="34">(S49-T48)*24*60</f>
        <v>8.0000000000000107</v>
      </c>
      <c r="V49" s="298">
        <f t="shared" si="33"/>
        <v>114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-141.57894736842127</v>
      </c>
      <c r="AF49" s="289">
        <f t="shared" si="9"/>
        <v>0.95280701754385955</v>
      </c>
      <c r="AG49" s="627"/>
    </row>
    <row r="50" spans="1:33" ht="15.75" customHeight="1">
      <c r="A50" s="624" t="s">
        <v>75</v>
      </c>
      <c r="B50" s="27" t="s">
        <v>27</v>
      </c>
      <c r="C50" s="605" t="s">
        <v>30</v>
      </c>
      <c r="D50" s="606"/>
      <c r="E50" s="27">
        <v>27.17</v>
      </c>
      <c r="F50" s="299">
        <v>5348</v>
      </c>
      <c r="G50" s="286">
        <f t="shared" si="31"/>
        <v>145305.16</v>
      </c>
      <c r="H50" s="31" t="s">
        <v>40</v>
      </c>
      <c r="I50" s="297">
        <v>10</v>
      </c>
      <c r="J50" s="29">
        <v>3000</v>
      </c>
      <c r="K50" s="12">
        <f t="shared" si="1"/>
        <v>300</v>
      </c>
      <c r="L50" s="297">
        <v>10</v>
      </c>
      <c r="M50" s="13">
        <f t="shared" si="32"/>
        <v>2865</v>
      </c>
      <c r="N50" s="13">
        <f t="shared" si="3"/>
        <v>286.5</v>
      </c>
      <c r="O50" s="14">
        <f t="shared" si="4"/>
        <v>0</v>
      </c>
      <c r="P50" s="15">
        <f t="shared" si="5"/>
        <v>-13.5</v>
      </c>
      <c r="Q50" s="289">
        <f t="shared" si="6"/>
        <v>0.95499999999999996</v>
      </c>
      <c r="R50" s="627"/>
      <c r="S50" s="32">
        <v>0.32847222222222222</v>
      </c>
      <c r="T50" s="32">
        <v>0.40625</v>
      </c>
      <c r="U50" s="286">
        <f t="shared" si="34"/>
        <v>5.9999999999999787</v>
      </c>
      <c r="V50" s="298">
        <f t="shared" si="33"/>
        <v>112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-135</v>
      </c>
      <c r="AF50" s="289">
        <f t="shared" si="9"/>
        <v>0.95499999999999996</v>
      </c>
      <c r="AG50" s="627"/>
    </row>
    <row r="51" spans="1:33" ht="15.75" customHeight="1">
      <c r="A51" s="624" t="s">
        <v>1476</v>
      </c>
      <c r="B51" s="27" t="s">
        <v>27</v>
      </c>
      <c r="C51" s="605" t="s">
        <v>35</v>
      </c>
      <c r="D51" s="606"/>
      <c r="E51" s="27">
        <v>35.869999999999997</v>
      </c>
      <c r="F51" s="299">
        <v>2782</v>
      </c>
      <c r="G51" s="286">
        <f t="shared" si="31"/>
        <v>99790.34</v>
      </c>
      <c r="H51" s="31" t="s">
        <v>40</v>
      </c>
      <c r="I51" s="297">
        <v>9</v>
      </c>
      <c r="J51" s="29">
        <v>3000</v>
      </c>
      <c r="K51" s="12">
        <f t="shared" si="1"/>
        <v>333.33333333333331</v>
      </c>
      <c r="L51" s="297">
        <v>9</v>
      </c>
      <c r="M51" s="13">
        <f t="shared" si="32"/>
        <v>2877.9310344827568</v>
      </c>
      <c r="N51" s="13">
        <f t="shared" si="3"/>
        <v>319.77011494252855</v>
      </c>
      <c r="O51" s="14">
        <f t="shared" si="4"/>
        <v>0</v>
      </c>
      <c r="P51" s="15">
        <f t="shared" si="5"/>
        <v>-13.563218390804764</v>
      </c>
      <c r="Q51" s="289">
        <f t="shared" si="6"/>
        <v>0.9593103448275857</v>
      </c>
      <c r="R51" s="627"/>
      <c r="S51" s="32">
        <v>0.41041666666666665</v>
      </c>
      <c r="T51" s="32">
        <v>0.45069444444444445</v>
      </c>
      <c r="U51" s="286">
        <f t="shared" si="34"/>
        <v>5.9999999999999787</v>
      </c>
      <c r="V51" s="298">
        <f t="shared" si="33"/>
        <v>58.000000000000036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8"/>
        <v>-122.06896551724321</v>
      </c>
      <c r="AF51" s="289">
        <f t="shared" si="9"/>
        <v>0.95931034482758559</v>
      </c>
      <c r="AG51" s="627"/>
    </row>
    <row r="52" spans="1:33" ht="15.75" customHeight="1">
      <c r="A52" s="625" t="s">
        <v>75</v>
      </c>
      <c r="B52" s="27" t="s">
        <v>70</v>
      </c>
      <c r="C52" s="609"/>
      <c r="D52" s="610"/>
      <c r="E52" s="287"/>
      <c r="F52" s="299"/>
      <c r="G52" s="286"/>
      <c r="H52" s="299"/>
      <c r="I52" s="21">
        <v>9.75</v>
      </c>
      <c r="J52" s="29">
        <v>3000</v>
      </c>
      <c r="K52" s="12">
        <f t="shared" si="1"/>
        <v>307.69230769230768</v>
      </c>
      <c r="L52" s="21">
        <v>9.75</v>
      </c>
      <c r="M52" s="13">
        <f>AVERAGE(M48:M51)</f>
        <v>2873.6713551119174</v>
      </c>
      <c r="N52" s="12">
        <f t="shared" si="3"/>
        <v>294.73552360122227</v>
      </c>
      <c r="O52" s="14">
        <f t="shared" si="4"/>
        <v>0</v>
      </c>
      <c r="P52" s="15">
        <f t="shared" si="5"/>
        <v>-12.95678409108541</v>
      </c>
      <c r="Q52" s="289">
        <f t="shared" si="6"/>
        <v>0.95789045170397247</v>
      </c>
      <c r="R52" s="628"/>
      <c r="S52" s="32"/>
      <c r="T52" s="32"/>
      <c r="U52" s="286"/>
      <c r="V52" s="298"/>
      <c r="W52" s="16"/>
      <c r="X52" s="16"/>
      <c r="Y52" s="22">
        <f>SUM(Y48:Y51)</f>
        <v>0</v>
      </c>
      <c r="Z52" s="22">
        <f>SUM(Z48:Z51)</f>
        <v>0</v>
      </c>
      <c r="AA52" s="619"/>
      <c r="AB52" s="620"/>
      <c r="AC52" s="22">
        <v>4</v>
      </c>
      <c r="AD52" s="22">
        <f>SUM(AD48:AD51)</f>
        <v>0</v>
      </c>
      <c r="AE52" s="14">
        <f t="shared" si="8"/>
        <v>-126.32864488808264</v>
      </c>
      <c r="AF52" s="289">
        <f t="shared" si="9"/>
        <v>0.95789045170397247</v>
      </c>
      <c r="AG52" s="628"/>
    </row>
    <row r="53" spans="1:33" ht="15.75" customHeight="1">
      <c r="A53" s="621" t="s">
        <v>71</v>
      </c>
      <c r="B53" s="27" t="s">
        <v>5</v>
      </c>
      <c r="C53" s="660" t="s">
        <v>15</v>
      </c>
      <c r="D53" s="660"/>
      <c r="E53" s="27">
        <v>59.04</v>
      </c>
      <c r="F53" s="30">
        <v>2206</v>
      </c>
      <c r="G53" s="286">
        <f t="shared" ref="G53:G60" si="35">E53*F53</f>
        <v>130242.24000000001</v>
      </c>
      <c r="H53" s="31" t="s">
        <v>40</v>
      </c>
      <c r="I53" s="297">
        <v>19</v>
      </c>
      <c r="J53" s="29">
        <v>2000</v>
      </c>
      <c r="K53" s="12">
        <f t="shared" si="1"/>
        <v>105.26315789473684</v>
      </c>
      <c r="L53" s="297">
        <v>19</v>
      </c>
      <c r="M53" s="13">
        <f t="shared" ref="M53" si="36">F53/V53*60</f>
        <v>1918.2608695652186</v>
      </c>
      <c r="N53" s="13">
        <f t="shared" si="3"/>
        <v>100.9610983981694</v>
      </c>
      <c r="O53" s="14">
        <f t="shared" si="4"/>
        <v>0</v>
      </c>
      <c r="P53" s="15">
        <f t="shared" si="5"/>
        <v>-4.3020594965674377</v>
      </c>
      <c r="Q53" s="289">
        <f t="shared" si="6"/>
        <v>0.95913043478260929</v>
      </c>
      <c r="R53" s="616">
        <f>Q61</f>
        <v>0.9581796840749911</v>
      </c>
      <c r="S53" s="32">
        <v>0.20833333333333334</v>
      </c>
      <c r="T53" s="32">
        <v>0.25624999999999998</v>
      </c>
      <c r="U53" s="20"/>
      <c r="V53" s="298">
        <f t="shared" ref="V53:V60" si="37">(T53-S53)*24*60</f>
        <v>68.999999999999957</v>
      </c>
      <c r="W53" s="16"/>
      <c r="X53" s="16"/>
      <c r="Y53" s="20"/>
      <c r="Z53" s="20"/>
      <c r="AA53" s="612"/>
      <c r="AB53" s="612"/>
      <c r="AC53" s="18">
        <v>8</v>
      </c>
      <c r="AD53" s="18"/>
      <c r="AE53" s="14">
        <f t="shared" si="8"/>
        <v>-81.739130434781373</v>
      </c>
      <c r="AF53" s="289">
        <f t="shared" si="9"/>
        <v>0.95913043478260929</v>
      </c>
      <c r="AG53" s="616">
        <f>AF61</f>
        <v>0.9581796840749911</v>
      </c>
    </row>
    <row r="54" spans="1:33" ht="15.75" customHeight="1">
      <c r="A54" s="621" t="s">
        <v>71</v>
      </c>
      <c r="B54" s="27" t="s">
        <v>5</v>
      </c>
      <c r="C54" s="660" t="s">
        <v>31</v>
      </c>
      <c r="D54" s="660"/>
      <c r="E54" s="27">
        <v>56.43</v>
      </c>
      <c r="F54" s="30">
        <v>1337</v>
      </c>
      <c r="G54" s="286">
        <f t="shared" si="35"/>
        <v>75446.91</v>
      </c>
      <c r="H54" s="31" t="s">
        <v>40</v>
      </c>
      <c r="I54" s="297">
        <v>22</v>
      </c>
      <c r="J54" s="29">
        <v>2000</v>
      </c>
      <c r="K54" s="12">
        <f t="shared" si="1"/>
        <v>90.909090909090907</v>
      </c>
      <c r="L54" s="297">
        <v>22</v>
      </c>
      <c r="M54" s="13">
        <f>F54/V54*60</f>
        <v>1909.9999999999993</v>
      </c>
      <c r="N54" s="13">
        <f t="shared" si="3"/>
        <v>86.818181818181785</v>
      </c>
      <c r="O54" s="14">
        <f t="shared" si="4"/>
        <v>0</v>
      </c>
      <c r="P54" s="15">
        <f t="shared" si="5"/>
        <v>-4.0909090909091219</v>
      </c>
      <c r="Q54" s="289">
        <f t="shared" si="6"/>
        <v>0.95499999999999963</v>
      </c>
      <c r="R54" s="616"/>
      <c r="S54" s="32">
        <v>0.26180555555555551</v>
      </c>
      <c r="T54" s="32">
        <v>0.29097222222222219</v>
      </c>
      <c r="U54" s="286">
        <f t="shared" ref="U54:U60" si="38">IF(S54=TIME(17,0,0),"",(S54-T53)*24*60)</f>
        <v>7.9999999999999716</v>
      </c>
      <c r="V54" s="298">
        <f t="shared" si="37"/>
        <v>42.000000000000014</v>
      </c>
      <c r="W54" s="16"/>
      <c r="X54" s="16"/>
      <c r="Y54" s="16"/>
      <c r="Z54" s="16"/>
      <c r="AA54" s="612"/>
      <c r="AB54" s="612"/>
      <c r="AC54" s="18"/>
      <c r="AD54" s="18"/>
      <c r="AE54" s="14">
        <f t="shared" si="8"/>
        <v>-90.000000000000682</v>
      </c>
      <c r="AF54" s="289">
        <f t="shared" si="9"/>
        <v>0.95499999999999963</v>
      </c>
      <c r="AG54" s="616"/>
    </row>
    <row r="55" spans="1:33" ht="15.75" customHeight="1">
      <c r="A55" s="621" t="s">
        <v>71</v>
      </c>
      <c r="B55" s="27" t="s">
        <v>5</v>
      </c>
      <c r="C55" s="605" t="s">
        <v>81</v>
      </c>
      <c r="D55" s="606"/>
      <c r="E55" s="27">
        <v>51.44</v>
      </c>
      <c r="F55" s="30">
        <v>2040</v>
      </c>
      <c r="G55" s="286">
        <f t="shared" si="35"/>
        <v>104937.59999999999</v>
      </c>
      <c r="H55" s="31" t="s">
        <v>40</v>
      </c>
      <c r="I55" s="297">
        <v>25</v>
      </c>
      <c r="J55" s="29">
        <v>2000</v>
      </c>
      <c r="K55" s="12">
        <f t="shared" si="1"/>
        <v>80</v>
      </c>
      <c r="L55" s="297">
        <v>25</v>
      </c>
      <c r="M55" s="13">
        <f t="shared" ref="M55:M60" si="39">F55/V55*60</f>
        <v>1912.4999999999995</v>
      </c>
      <c r="N55" s="13">
        <f t="shared" si="3"/>
        <v>76.499999999999986</v>
      </c>
      <c r="O55" s="14">
        <f t="shared" si="4"/>
        <v>0</v>
      </c>
      <c r="P55" s="15">
        <f t="shared" si="5"/>
        <v>-3.5000000000000142</v>
      </c>
      <c r="Q55" s="289">
        <f t="shared" si="6"/>
        <v>0.95624999999999982</v>
      </c>
      <c r="R55" s="616"/>
      <c r="S55" s="32">
        <v>0.29583333333333328</v>
      </c>
      <c r="T55" s="32">
        <v>0.34027777777777773</v>
      </c>
      <c r="U55" s="286">
        <f t="shared" si="38"/>
        <v>6.9999999999999751</v>
      </c>
      <c r="V55" s="298">
        <f t="shared" si="37"/>
        <v>64.000000000000014</v>
      </c>
      <c r="W55" s="16"/>
      <c r="X55" s="16"/>
      <c r="Y55" s="19"/>
      <c r="Z55" s="19"/>
      <c r="AA55" s="612"/>
      <c r="AB55" s="612"/>
      <c r="AC55" s="18"/>
      <c r="AD55" s="18"/>
      <c r="AE55" s="14">
        <f t="shared" si="8"/>
        <v>-87.500000000000455</v>
      </c>
      <c r="AF55" s="289">
        <f t="shared" si="9"/>
        <v>0.95624999999999982</v>
      </c>
      <c r="AG55" s="616"/>
    </row>
    <row r="56" spans="1:33" ht="15.75" customHeight="1">
      <c r="A56" s="621" t="s">
        <v>71</v>
      </c>
      <c r="B56" s="27" t="s">
        <v>8</v>
      </c>
      <c r="C56" s="291" t="s">
        <v>61</v>
      </c>
      <c r="D56" s="292"/>
      <c r="E56" s="27">
        <v>46</v>
      </c>
      <c r="F56" s="30">
        <v>1897</v>
      </c>
      <c r="G56" s="286">
        <f t="shared" si="35"/>
        <v>87262</v>
      </c>
      <c r="H56" s="31" t="s">
        <v>40</v>
      </c>
      <c r="I56" s="297">
        <v>16</v>
      </c>
      <c r="J56" s="29">
        <v>2000</v>
      </c>
      <c r="K56" s="12">
        <f t="shared" si="1"/>
        <v>125</v>
      </c>
      <c r="L56" s="297">
        <v>16</v>
      </c>
      <c r="M56" s="13">
        <f t="shared" si="39"/>
        <v>1929.1525423728806</v>
      </c>
      <c r="N56" s="13">
        <f t="shared" si="3"/>
        <v>120.57203389830504</v>
      </c>
      <c r="O56" s="14">
        <f t="shared" si="4"/>
        <v>0</v>
      </c>
      <c r="P56" s="15">
        <f t="shared" si="5"/>
        <v>-4.4279661016949632</v>
      </c>
      <c r="Q56" s="289">
        <f t="shared" si="6"/>
        <v>0.96457627118644029</v>
      </c>
      <c r="R56" s="616"/>
      <c r="S56" s="32">
        <v>0.34583333333333327</v>
      </c>
      <c r="T56" s="32">
        <v>0.38680555555555551</v>
      </c>
      <c r="U56" s="286">
        <f t="shared" si="38"/>
        <v>7.9999999999999716</v>
      </c>
      <c r="V56" s="298">
        <f t="shared" si="37"/>
        <v>59.000000000000028</v>
      </c>
      <c r="W56" s="16"/>
      <c r="X56" s="16"/>
      <c r="Y56" s="19"/>
      <c r="Z56" s="19"/>
      <c r="AA56" s="612"/>
      <c r="AB56" s="612"/>
      <c r="AC56" s="18"/>
      <c r="AD56" s="18"/>
      <c r="AE56" s="14">
        <f t="shared" si="8"/>
        <v>-70.847457627119411</v>
      </c>
      <c r="AF56" s="289">
        <f t="shared" si="9"/>
        <v>0.96457627118644029</v>
      </c>
      <c r="AG56" s="616"/>
    </row>
    <row r="57" spans="1:33" ht="15.75" customHeight="1">
      <c r="A57" s="621" t="s">
        <v>71</v>
      </c>
      <c r="B57" s="27" t="s">
        <v>8</v>
      </c>
      <c r="C57" s="291" t="s">
        <v>79</v>
      </c>
      <c r="D57" s="292"/>
      <c r="E57" s="27">
        <v>46</v>
      </c>
      <c r="F57" s="30">
        <v>2660</v>
      </c>
      <c r="G57" s="286">
        <f t="shared" si="35"/>
        <v>122360</v>
      </c>
      <c r="H57" s="31" t="s">
        <v>40</v>
      </c>
      <c r="I57" s="297">
        <v>17</v>
      </c>
      <c r="J57" s="29">
        <v>2000</v>
      </c>
      <c r="K57" s="12">
        <f t="shared" si="1"/>
        <v>117.64705882352941</v>
      </c>
      <c r="L57" s="297">
        <v>17</v>
      </c>
      <c r="M57" s="13">
        <f t="shared" si="39"/>
        <v>1922.8915662650595</v>
      </c>
      <c r="N57" s="13">
        <f t="shared" si="3"/>
        <v>113.11126860382703</v>
      </c>
      <c r="O57" s="14">
        <f t="shared" si="4"/>
        <v>0</v>
      </c>
      <c r="P57" s="15">
        <f t="shared" si="5"/>
        <v>-4.5357902197023776</v>
      </c>
      <c r="Q57" s="289">
        <f t="shared" si="6"/>
        <v>0.96144578313252982</v>
      </c>
      <c r="R57" s="616"/>
      <c r="S57" s="32">
        <v>0.39027777777777772</v>
      </c>
      <c r="T57" s="32">
        <v>0.44791666666666663</v>
      </c>
      <c r="U57" s="286">
        <f t="shared" si="38"/>
        <v>4.9999999999999822</v>
      </c>
      <c r="V57" s="298">
        <f t="shared" si="37"/>
        <v>83.000000000000028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8"/>
        <v>-77.10843373494049</v>
      </c>
      <c r="AF57" s="289">
        <f t="shared" si="9"/>
        <v>0.96144578313252971</v>
      </c>
      <c r="AG57" s="616"/>
    </row>
    <row r="58" spans="1:33" ht="15.75" customHeight="1">
      <c r="A58" s="621" t="s">
        <v>1477</v>
      </c>
      <c r="B58" s="27" t="s">
        <v>5</v>
      </c>
      <c r="C58" s="605" t="s">
        <v>77</v>
      </c>
      <c r="D58" s="606"/>
      <c r="E58" s="27">
        <v>54.09</v>
      </c>
      <c r="F58" s="30">
        <v>1432</v>
      </c>
      <c r="G58" s="286">
        <f t="shared" si="35"/>
        <v>77456.88</v>
      </c>
      <c r="H58" s="31" t="s">
        <v>40</v>
      </c>
      <c r="I58" s="297">
        <v>13</v>
      </c>
      <c r="J58" s="29">
        <v>2000</v>
      </c>
      <c r="K58" s="12">
        <f t="shared" si="1"/>
        <v>153.84615384615384</v>
      </c>
      <c r="L58" s="297">
        <v>13</v>
      </c>
      <c r="M58" s="13">
        <f t="shared" si="39"/>
        <v>1909.3333333333335</v>
      </c>
      <c r="N58" s="13">
        <f t="shared" si="3"/>
        <v>146.87179487179489</v>
      </c>
      <c r="O58" s="14">
        <f t="shared" si="4"/>
        <v>0</v>
      </c>
      <c r="P58" s="15">
        <f t="shared" si="5"/>
        <v>-6.9743589743589496</v>
      </c>
      <c r="Q58" s="289">
        <f t="shared" si="6"/>
        <v>0.95466666666666677</v>
      </c>
      <c r="R58" s="616"/>
      <c r="S58" s="32">
        <v>0.70833333333333337</v>
      </c>
      <c r="T58" s="32">
        <v>0.73958333333333337</v>
      </c>
      <c r="U58" s="286" t="str">
        <f t="shared" si="38"/>
        <v/>
      </c>
      <c r="V58" s="298">
        <f t="shared" si="37"/>
        <v>45</v>
      </c>
      <c r="W58" s="16"/>
      <c r="X58" s="16"/>
      <c r="Y58" s="19"/>
      <c r="Z58" s="19"/>
      <c r="AA58" s="607"/>
      <c r="AB58" s="608"/>
      <c r="AC58" s="18"/>
      <c r="AD58" s="18"/>
      <c r="AE58" s="14">
        <f t="shared" si="8"/>
        <v>-90.666666666666515</v>
      </c>
      <c r="AF58" s="289">
        <f t="shared" si="9"/>
        <v>0.95466666666666677</v>
      </c>
      <c r="AG58" s="616"/>
    </row>
    <row r="59" spans="1:33" ht="15.75" customHeight="1">
      <c r="A59" s="621" t="s">
        <v>71</v>
      </c>
      <c r="B59" s="27" t="s">
        <v>5</v>
      </c>
      <c r="C59" s="605" t="s">
        <v>62</v>
      </c>
      <c r="D59" s="606"/>
      <c r="E59" s="27">
        <v>51.06</v>
      </c>
      <c r="F59" s="30">
        <v>3209</v>
      </c>
      <c r="G59" s="286">
        <f t="shared" si="35"/>
        <v>163851.54</v>
      </c>
      <c r="H59" s="31" t="s">
        <v>40</v>
      </c>
      <c r="I59" s="297">
        <v>13</v>
      </c>
      <c r="J59" s="29">
        <v>2000</v>
      </c>
      <c r="K59" s="12">
        <f t="shared" si="1"/>
        <v>153.84615384615384</v>
      </c>
      <c r="L59" s="297">
        <v>13</v>
      </c>
      <c r="M59" s="13">
        <f t="shared" si="39"/>
        <v>1906.3366336633671</v>
      </c>
      <c r="N59" s="13">
        <f t="shared" si="3"/>
        <v>146.64127951256671</v>
      </c>
      <c r="O59" s="14">
        <f t="shared" si="4"/>
        <v>0</v>
      </c>
      <c r="P59" s="15">
        <f t="shared" si="5"/>
        <v>-7.2048743335871279</v>
      </c>
      <c r="Q59" s="289">
        <f t="shared" si="6"/>
        <v>0.95316831683168368</v>
      </c>
      <c r="R59" s="616"/>
      <c r="S59" s="32">
        <v>0.74375000000000002</v>
      </c>
      <c r="T59" s="32">
        <v>0.81388888888888888</v>
      </c>
      <c r="U59" s="286">
        <f t="shared" si="38"/>
        <v>5.9999999999999787</v>
      </c>
      <c r="V59" s="298">
        <f t="shared" si="37"/>
        <v>100.99999999999996</v>
      </c>
      <c r="W59" s="16"/>
      <c r="X59" s="16"/>
      <c r="Y59" s="19"/>
      <c r="Z59" s="19"/>
      <c r="AA59" s="607"/>
      <c r="AB59" s="608"/>
      <c r="AC59" s="18"/>
      <c r="AD59" s="18"/>
      <c r="AE59" s="14">
        <f t="shared" si="8"/>
        <v>-93.663366336632862</v>
      </c>
      <c r="AF59" s="289">
        <f t="shared" si="9"/>
        <v>0.95316831683168357</v>
      </c>
      <c r="AG59" s="616"/>
    </row>
    <row r="60" spans="1:33" ht="15.75" customHeight="1">
      <c r="A60" s="621" t="s">
        <v>71</v>
      </c>
      <c r="B60" s="27" t="s">
        <v>5</v>
      </c>
      <c r="C60" s="605" t="s">
        <v>7</v>
      </c>
      <c r="D60" s="606"/>
      <c r="E60" s="27">
        <v>50.67</v>
      </c>
      <c r="F60" s="30">
        <v>1602</v>
      </c>
      <c r="G60" s="286">
        <f t="shared" si="35"/>
        <v>81173.34</v>
      </c>
      <c r="H60" s="31" t="s">
        <v>40</v>
      </c>
      <c r="I60" s="297">
        <v>15</v>
      </c>
      <c r="J60" s="29">
        <v>2000</v>
      </c>
      <c r="K60" s="12">
        <f t="shared" si="1"/>
        <v>133.33333333333334</v>
      </c>
      <c r="L60" s="297">
        <v>15</v>
      </c>
      <c r="M60" s="13">
        <f t="shared" si="39"/>
        <v>1922.4000000000003</v>
      </c>
      <c r="N60" s="13">
        <f t="shared" si="3"/>
        <v>128.16000000000003</v>
      </c>
      <c r="O60" s="14">
        <f t="shared" si="4"/>
        <v>0</v>
      </c>
      <c r="P60" s="15">
        <f t="shared" si="5"/>
        <v>-5.1733333333333178</v>
      </c>
      <c r="Q60" s="289">
        <f t="shared" si="6"/>
        <v>0.96120000000000017</v>
      </c>
      <c r="R60" s="616"/>
      <c r="S60" s="32">
        <v>0.81944444444444442</v>
      </c>
      <c r="T60" s="32">
        <v>0.85416666666666663</v>
      </c>
      <c r="U60" s="286">
        <f t="shared" si="38"/>
        <v>7.9999999999999716</v>
      </c>
      <c r="V60" s="298">
        <f t="shared" si="37"/>
        <v>49.999999999999986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8"/>
        <v>-77.599999999999682</v>
      </c>
      <c r="AF60" s="289">
        <f t="shared" si="9"/>
        <v>0.96120000000000017</v>
      </c>
      <c r="AG60" s="616"/>
    </row>
    <row r="61" spans="1:33">
      <c r="A61" s="622" t="s">
        <v>71</v>
      </c>
      <c r="B61" s="27" t="s">
        <v>70</v>
      </c>
      <c r="C61" s="658"/>
      <c r="D61" s="658"/>
      <c r="E61" s="290"/>
      <c r="F61" s="28"/>
      <c r="G61" s="12"/>
      <c r="H61" s="299"/>
      <c r="I61" s="21">
        <v>17.5</v>
      </c>
      <c r="J61" s="29">
        <v>2000</v>
      </c>
      <c r="K61" s="12">
        <f t="shared" si="1"/>
        <v>114.28571428571429</v>
      </c>
      <c r="L61" s="21">
        <v>17.5</v>
      </c>
      <c r="M61" s="13">
        <f>AVERAGE(M53:M60)</f>
        <v>1916.3593681499822</v>
      </c>
      <c r="N61" s="12">
        <f t="shared" si="3"/>
        <v>109.50624960857041</v>
      </c>
      <c r="O61" s="14">
        <f t="shared" si="4"/>
        <v>0</v>
      </c>
      <c r="P61" s="15">
        <f t="shared" si="5"/>
        <v>-4.7794646771438778</v>
      </c>
      <c r="Q61" s="289">
        <f t="shared" si="6"/>
        <v>0.9581796840749911</v>
      </c>
      <c r="R61" s="616"/>
      <c r="S61" s="32"/>
      <c r="T61" s="32"/>
      <c r="U61" s="286"/>
      <c r="V61" s="298"/>
      <c r="W61" s="12"/>
      <c r="X61" s="12"/>
      <c r="Y61" s="22">
        <f>SUM(Y53:Y60)</f>
        <v>0</v>
      </c>
      <c r="Z61" s="22">
        <f>SUM(Z53:Z60)</f>
        <v>0</v>
      </c>
      <c r="AA61" s="611"/>
      <c r="AB61" s="611"/>
      <c r="AC61" s="22">
        <v>8</v>
      </c>
      <c r="AD61" s="22">
        <f>SUM(AD53:AD60)</f>
        <v>0</v>
      </c>
      <c r="AE61" s="14">
        <f>M61-J61</f>
        <v>-83.640631850017826</v>
      </c>
      <c r="AF61" s="289">
        <f t="shared" si="9"/>
        <v>0.9581796840749911</v>
      </c>
      <c r="AG61" s="616"/>
    </row>
    <row r="62" spans="1:33" ht="15.75" customHeight="1">
      <c r="A62" s="617" t="s">
        <v>72</v>
      </c>
      <c r="B62" s="299" t="s">
        <v>27</v>
      </c>
      <c r="C62" s="660" t="s">
        <v>28</v>
      </c>
      <c r="D62" s="660"/>
      <c r="E62" s="27">
        <v>35.119999999999997</v>
      </c>
      <c r="F62" s="30">
        <v>4670</v>
      </c>
      <c r="G62" s="286">
        <f t="shared" ref="G62:G65" si="40">E62*F62</f>
        <v>164010.4</v>
      </c>
      <c r="H62" s="31" t="s">
        <v>40</v>
      </c>
      <c r="I62" s="297">
        <v>10</v>
      </c>
      <c r="J62" s="29">
        <v>3000</v>
      </c>
      <c r="K62" s="12">
        <f t="shared" si="1"/>
        <v>300</v>
      </c>
      <c r="L62" s="297">
        <v>10</v>
      </c>
      <c r="M62" s="13">
        <f t="shared" ref="M62:M65" si="41">F62/V62*60</f>
        <v>2859.1836734693875</v>
      </c>
      <c r="N62" s="12">
        <f t="shared" si="3"/>
        <v>285.91836734693874</v>
      </c>
      <c r="O62" s="14">
        <f t="shared" si="4"/>
        <v>0</v>
      </c>
      <c r="P62" s="15">
        <f t="shared" si="5"/>
        <v>-14.081632653061263</v>
      </c>
      <c r="Q62" s="289">
        <f t="shared" si="6"/>
        <v>0.9530612244897958</v>
      </c>
      <c r="R62" s="616">
        <f>Q66</f>
        <v>0.9592310308738885</v>
      </c>
      <c r="S62" s="32">
        <v>0.20833333333333334</v>
      </c>
      <c r="T62" s="32">
        <v>0.27638888888888891</v>
      </c>
      <c r="U62" s="286"/>
      <c r="V62" s="298">
        <f t="shared" ref="V62:V65" si="42">(T62-S62)*24*60</f>
        <v>98.000000000000014</v>
      </c>
      <c r="W62" s="16"/>
      <c r="X62" s="16"/>
      <c r="Y62" s="20"/>
      <c r="Z62" s="20"/>
      <c r="AA62" s="612"/>
      <c r="AB62" s="612"/>
      <c r="AC62" s="18">
        <v>4</v>
      </c>
      <c r="AD62" s="18"/>
      <c r="AE62" s="14">
        <f t="shared" ref="AE62:AE75" si="43">M62-J62</f>
        <v>-140.81632653061251</v>
      </c>
      <c r="AF62" s="289">
        <f t="shared" si="9"/>
        <v>0.9530612244897958</v>
      </c>
      <c r="AG62" s="616">
        <f>AF66</f>
        <v>0.95923103087388839</v>
      </c>
    </row>
    <row r="63" spans="1:33" ht="15.75" customHeight="1">
      <c r="A63" s="617" t="s">
        <v>72</v>
      </c>
      <c r="B63" s="299" t="s">
        <v>27</v>
      </c>
      <c r="C63" s="660" t="s">
        <v>34</v>
      </c>
      <c r="D63" s="660"/>
      <c r="E63" s="27">
        <v>26.78</v>
      </c>
      <c r="F63" s="30">
        <v>2518</v>
      </c>
      <c r="G63" s="286">
        <f t="shared" si="40"/>
        <v>67432.040000000008</v>
      </c>
      <c r="H63" s="31" t="s">
        <v>40</v>
      </c>
      <c r="I63" s="297">
        <v>10</v>
      </c>
      <c r="J63" s="29">
        <v>3000</v>
      </c>
      <c r="K63" s="12">
        <f t="shared" si="1"/>
        <v>300</v>
      </c>
      <c r="L63" s="297">
        <v>10</v>
      </c>
      <c r="M63" s="13">
        <f t="shared" si="41"/>
        <v>2905.3846153846171</v>
      </c>
      <c r="N63" s="12">
        <f t="shared" si="3"/>
        <v>290.53846153846172</v>
      </c>
      <c r="O63" s="14">
        <f t="shared" si="4"/>
        <v>0</v>
      </c>
      <c r="P63" s="15">
        <f t="shared" si="5"/>
        <v>-9.4615384615382823</v>
      </c>
      <c r="Q63" s="289">
        <f t="shared" si="6"/>
        <v>0.96846153846153904</v>
      </c>
      <c r="R63" s="616"/>
      <c r="S63" s="32">
        <v>0.28125</v>
      </c>
      <c r="T63" s="32">
        <v>0.31736111111111109</v>
      </c>
      <c r="U63" s="286">
        <f t="shared" ref="U63:U65" si="44">(S63-T62)*24*60</f>
        <v>6.9999999999999751</v>
      </c>
      <c r="V63" s="298">
        <f t="shared" si="42"/>
        <v>51.999999999999972</v>
      </c>
      <c r="W63" s="286"/>
      <c r="X63" s="286"/>
      <c r="Y63" s="286"/>
      <c r="Z63" s="286"/>
      <c r="AA63" s="612"/>
      <c r="AB63" s="612"/>
      <c r="AC63" s="18"/>
      <c r="AD63" s="18"/>
      <c r="AE63" s="14">
        <f t="shared" si="43"/>
        <v>-94.615384615382936</v>
      </c>
      <c r="AF63" s="289">
        <f t="shared" si="9"/>
        <v>0.96846153846153904</v>
      </c>
      <c r="AG63" s="616"/>
    </row>
    <row r="64" spans="1:33" ht="15.75" customHeight="1">
      <c r="A64" s="617" t="s">
        <v>72</v>
      </c>
      <c r="B64" s="299" t="s">
        <v>27</v>
      </c>
      <c r="C64" s="660" t="s">
        <v>36</v>
      </c>
      <c r="D64" s="660"/>
      <c r="E64" s="27">
        <v>34.35</v>
      </c>
      <c r="F64" s="30">
        <v>1438</v>
      </c>
      <c r="G64" s="286">
        <f t="shared" si="40"/>
        <v>49395.3</v>
      </c>
      <c r="H64" s="31" t="s">
        <v>40</v>
      </c>
      <c r="I64" s="297">
        <v>8</v>
      </c>
      <c r="J64" s="29">
        <v>3000</v>
      </c>
      <c r="K64" s="12">
        <f t="shared" si="1"/>
        <v>375</v>
      </c>
      <c r="L64" s="297">
        <v>8</v>
      </c>
      <c r="M64" s="13">
        <f t="shared" si="41"/>
        <v>2876.0000000000027</v>
      </c>
      <c r="N64" s="12">
        <f t="shared" si="3"/>
        <v>359.50000000000034</v>
      </c>
      <c r="O64" s="14">
        <f t="shared" si="4"/>
        <v>0</v>
      </c>
      <c r="P64" s="15">
        <f t="shared" si="5"/>
        <v>-15.499999999999659</v>
      </c>
      <c r="Q64" s="289">
        <f t="shared" si="6"/>
        <v>0.95866666666666756</v>
      </c>
      <c r="R64" s="616"/>
      <c r="S64" s="32">
        <v>0.3208333333333333</v>
      </c>
      <c r="T64" s="32">
        <v>0.34166666666666662</v>
      </c>
      <c r="U64" s="286">
        <f t="shared" si="44"/>
        <v>4.9999999999999822</v>
      </c>
      <c r="V64" s="298">
        <f t="shared" si="42"/>
        <v>29.999999999999972</v>
      </c>
      <c r="W64" s="286"/>
      <c r="X64" s="286"/>
      <c r="Y64" s="286"/>
      <c r="Z64" s="286"/>
      <c r="AA64" s="612"/>
      <c r="AB64" s="612"/>
      <c r="AC64" s="18"/>
      <c r="AD64" s="18"/>
      <c r="AE64" s="14">
        <f t="shared" si="43"/>
        <v>-123.99999999999727</v>
      </c>
      <c r="AF64" s="289">
        <f t="shared" si="9"/>
        <v>0.95866666666666756</v>
      </c>
      <c r="AG64" s="616"/>
    </row>
    <row r="65" spans="1:33" ht="15.75" customHeight="1">
      <c r="A65" s="617" t="s">
        <v>72</v>
      </c>
      <c r="B65" s="299" t="s">
        <v>27</v>
      </c>
      <c r="C65" s="660" t="s">
        <v>737</v>
      </c>
      <c r="D65" s="660"/>
      <c r="E65" s="27">
        <v>36.14</v>
      </c>
      <c r="F65" s="30">
        <v>2344</v>
      </c>
      <c r="G65" s="286">
        <f t="shared" si="40"/>
        <v>84712.16</v>
      </c>
      <c r="H65" s="31" t="s">
        <v>40</v>
      </c>
      <c r="I65" s="297">
        <v>11</v>
      </c>
      <c r="J65" s="29">
        <v>3000</v>
      </c>
      <c r="K65" s="12">
        <f t="shared" si="1"/>
        <v>272.72727272727275</v>
      </c>
      <c r="L65" s="297">
        <v>11</v>
      </c>
      <c r="M65" s="13">
        <f t="shared" si="41"/>
        <v>2870.2040816326539</v>
      </c>
      <c r="N65" s="12">
        <f t="shared" si="3"/>
        <v>260.92764378478671</v>
      </c>
      <c r="O65" s="14">
        <f t="shared" si="4"/>
        <v>0</v>
      </c>
      <c r="P65" s="15">
        <f t="shared" si="5"/>
        <v>-11.799628942486038</v>
      </c>
      <c r="Q65" s="289">
        <f t="shared" si="6"/>
        <v>0.95673469387755117</v>
      </c>
      <c r="R65" s="616"/>
      <c r="S65" s="32">
        <v>0.34583333333333327</v>
      </c>
      <c r="T65" s="32">
        <v>0.37986111111111104</v>
      </c>
      <c r="U65" s="286">
        <f t="shared" si="44"/>
        <v>5.9999999999999787</v>
      </c>
      <c r="V65" s="298">
        <f t="shared" si="42"/>
        <v>48.999999999999986</v>
      </c>
      <c r="W65" s="286"/>
      <c r="X65" s="286"/>
      <c r="Y65" s="286"/>
      <c r="Z65" s="286"/>
      <c r="AA65" s="612"/>
      <c r="AB65" s="612"/>
      <c r="AC65" s="18"/>
      <c r="AD65" s="18"/>
      <c r="AE65" s="14">
        <f t="shared" si="43"/>
        <v>-129.79591836734608</v>
      </c>
      <c r="AF65" s="289">
        <f t="shared" si="9"/>
        <v>0.95673469387755128</v>
      </c>
      <c r="AG65" s="616"/>
    </row>
    <row r="66" spans="1:33">
      <c r="A66" s="618" t="s">
        <v>72</v>
      </c>
      <c r="B66" s="27" t="s">
        <v>70</v>
      </c>
      <c r="C66" s="658"/>
      <c r="D66" s="658"/>
      <c r="E66" s="290"/>
      <c r="F66" s="28"/>
      <c r="G66" s="12"/>
      <c r="H66" s="299"/>
      <c r="I66" s="21">
        <v>9.75</v>
      </c>
      <c r="J66" s="29">
        <v>3000</v>
      </c>
      <c r="K66" s="12">
        <f t="shared" si="1"/>
        <v>307.69230769230768</v>
      </c>
      <c r="L66" s="21">
        <v>9.75</v>
      </c>
      <c r="M66" s="13">
        <f>AVERAGE(M62:M65)</f>
        <v>2877.6930926216651</v>
      </c>
      <c r="N66" s="12">
        <f t="shared" si="3"/>
        <v>295.14800949965797</v>
      </c>
      <c r="O66" s="14">
        <f t="shared" si="4"/>
        <v>0</v>
      </c>
      <c r="P66" s="15">
        <f t="shared" si="5"/>
        <v>-12.544298192649705</v>
      </c>
      <c r="Q66" s="289">
        <f t="shared" si="6"/>
        <v>0.9592310308738885</v>
      </c>
      <c r="R66" s="616"/>
      <c r="S66" s="32"/>
      <c r="T66" s="32"/>
      <c r="U66" s="12"/>
      <c r="V66" s="298"/>
      <c r="W66" s="12"/>
      <c r="X66" s="12"/>
      <c r="Y66" s="22">
        <f>SUM(Y62:Y65)</f>
        <v>0</v>
      </c>
      <c r="Z66" s="22">
        <f>SUM(Z62:Z65)</f>
        <v>0</v>
      </c>
      <c r="AA66" s="611"/>
      <c r="AB66" s="611"/>
      <c r="AC66" s="22">
        <v>4</v>
      </c>
      <c r="AD66" s="22">
        <f>SUM(AD62:AD65)</f>
        <v>0</v>
      </c>
      <c r="AE66" s="14">
        <f t="shared" si="43"/>
        <v>-122.30690737833493</v>
      </c>
      <c r="AF66" s="289">
        <f t="shared" si="9"/>
        <v>0.95923103087388839</v>
      </c>
      <c r="AG66" s="616"/>
    </row>
    <row r="67" spans="1:33" ht="15.75" customHeight="1">
      <c r="A67" s="613" t="s">
        <v>73</v>
      </c>
      <c r="B67" s="299" t="s">
        <v>20</v>
      </c>
      <c r="C67" s="660" t="s">
        <v>39</v>
      </c>
      <c r="D67" s="660"/>
      <c r="E67" s="27">
        <v>19.02</v>
      </c>
      <c r="F67" s="299">
        <v>5600</v>
      </c>
      <c r="G67" s="286">
        <f t="shared" ref="G67:G74" si="45">E67*F67</f>
        <v>106512</v>
      </c>
      <c r="H67" s="31">
        <v>2</v>
      </c>
      <c r="I67" s="297">
        <v>14</v>
      </c>
      <c r="J67" s="29">
        <v>2400</v>
      </c>
      <c r="K67" s="12">
        <f t="shared" si="1"/>
        <v>171.42857142857142</v>
      </c>
      <c r="L67" s="297">
        <v>14</v>
      </c>
      <c r="M67" s="13">
        <f t="shared" ref="M67:M74" si="46">F67/V67*60</f>
        <v>2285.7142857142858</v>
      </c>
      <c r="N67" s="12">
        <f t="shared" si="3"/>
        <v>163.26530612244898</v>
      </c>
      <c r="O67" s="14">
        <f t="shared" si="4"/>
        <v>0</v>
      </c>
      <c r="P67" s="15">
        <f t="shared" si="5"/>
        <v>-8.1632653061224403</v>
      </c>
      <c r="Q67" s="289">
        <f t="shared" si="6"/>
        <v>0.95238095238095244</v>
      </c>
      <c r="R67" s="616">
        <f>Q75</f>
        <v>0.9560829670350216</v>
      </c>
      <c r="S67" s="32">
        <v>8.3333333333333329E-2</v>
      </c>
      <c r="T67" s="32">
        <v>0.18541666666666667</v>
      </c>
      <c r="U67" s="20"/>
      <c r="V67" s="298">
        <f t="shared" ref="V67:V74" si="47">(T67-S67)*24*60</f>
        <v>147</v>
      </c>
      <c r="W67" s="16">
        <f>T67</f>
        <v>0.18541666666666667</v>
      </c>
      <c r="X67" s="16">
        <f>S68</f>
        <v>0.2048611111111111</v>
      </c>
      <c r="Y67" s="16"/>
      <c r="Z67" s="16"/>
      <c r="AA67" s="612"/>
      <c r="AB67" s="612"/>
      <c r="AC67" s="18">
        <v>8</v>
      </c>
      <c r="AD67" s="18"/>
      <c r="AE67" s="14">
        <f t="shared" si="43"/>
        <v>-114.28571428571422</v>
      </c>
      <c r="AF67" s="289">
        <f t="shared" si="9"/>
        <v>0.95238095238095244</v>
      </c>
      <c r="AG67" s="616">
        <f>AF75</f>
        <v>0.95608296703502138</v>
      </c>
    </row>
    <row r="68" spans="1:33" ht="15.75" customHeight="1">
      <c r="A68" s="614" t="s">
        <v>73</v>
      </c>
      <c r="B68" s="299" t="s">
        <v>20</v>
      </c>
      <c r="C68" s="660" t="s">
        <v>24</v>
      </c>
      <c r="D68" s="660"/>
      <c r="E68" s="27">
        <v>20.36</v>
      </c>
      <c r="F68" s="299">
        <v>2400</v>
      </c>
      <c r="G68" s="286">
        <f t="shared" si="45"/>
        <v>48864</v>
      </c>
      <c r="H68" s="31">
        <v>2</v>
      </c>
      <c r="I68" s="297">
        <v>17</v>
      </c>
      <c r="J68" s="29">
        <v>2400</v>
      </c>
      <c r="K68" s="12">
        <f t="shared" si="1"/>
        <v>141.1764705882353</v>
      </c>
      <c r="L68" s="297">
        <v>17</v>
      </c>
      <c r="M68" s="13">
        <f t="shared" si="46"/>
        <v>2285.7142857142853</v>
      </c>
      <c r="N68" s="12">
        <f t="shared" si="3"/>
        <v>134.45378151260502</v>
      </c>
      <c r="O68" s="14">
        <f t="shared" si="4"/>
        <v>0</v>
      </c>
      <c r="P68" s="15">
        <f t="shared" si="5"/>
        <v>-6.7226890756302851</v>
      </c>
      <c r="Q68" s="289">
        <f t="shared" si="6"/>
        <v>0.95238095238095211</v>
      </c>
      <c r="R68" s="616"/>
      <c r="S68" s="32">
        <v>0.2048611111111111</v>
      </c>
      <c r="T68" s="32">
        <v>0.24861111111111112</v>
      </c>
      <c r="U68" s="286">
        <f t="shared" ref="U68:U74" si="48">(S68-T67)*24*60</f>
        <v>27.999999999999979</v>
      </c>
      <c r="V68" s="298">
        <f t="shared" si="47"/>
        <v>63.000000000000014</v>
      </c>
      <c r="W68" s="16"/>
      <c r="X68" s="16"/>
      <c r="Y68" s="16"/>
      <c r="Z68" s="16"/>
      <c r="AA68" s="612"/>
      <c r="AB68" s="612"/>
      <c r="AC68" s="18"/>
      <c r="AD68" s="18"/>
      <c r="AE68" s="14">
        <f t="shared" si="43"/>
        <v>-114.28571428571468</v>
      </c>
      <c r="AF68" s="289">
        <f t="shared" si="9"/>
        <v>0.95238095238095222</v>
      </c>
      <c r="AG68" s="616"/>
    </row>
    <row r="69" spans="1:33" ht="15.75" customHeight="1">
      <c r="A69" s="614" t="s">
        <v>73</v>
      </c>
      <c r="B69" s="299" t="s">
        <v>20</v>
      </c>
      <c r="C69" s="660" t="s">
        <v>80</v>
      </c>
      <c r="D69" s="660"/>
      <c r="E69" s="27">
        <v>25.98</v>
      </c>
      <c r="F69" s="299">
        <v>3779</v>
      </c>
      <c r="G69" s="286">
        <f t="shared" si="45"/>
        <v>98178.42</v>
      </c>
      <c r="H69" s="31" t="s">
        <v>40</v>
      </c>
      <c r="I69" s="297">
        <v>17</v>
      </c>
      <c r="J69" s="29">
        <v>2400</v>
      </c>
      <c r="K69" s="12">
        <f t="shared" ref="K69:K75" si="49">J69/I69</f>
        <v>141.1764705882353</v>
      </c>
      <c r="L69" s="297">
        <v>17</v>
      </c>
      <c r="M69" s="13">
        <f t="shared" si="46"/>
        <v>2290.3030303030309</v>
      </c>
      <c r="N69" s="12">
        <f t="shared" ref="N69:N75" si="50">M69/L69</f>
        <v>134.72370766488416</v>
      </c>
      <c r="O69" s="14">
        <f t="shared" ref="O69:O75" si="51">L69-I69</f>
        <v>0</v>
      </c>
      <c r="P69" s="15">
        <f t="shared" ref="P69:P75" si="52">N69-K69</f>
        <v>-6.4527629233511448</v>
      </c>
      <c r="Q69" s="289">
        <f t="shared" ref="Q69:Q75" si="53">N69/K69</f>
        <v>0.95429292929292941</v>
      </c>
      <c r="R69" s="616"/>
      <c r="S69" s="32">
        <v>0.25208333333333333</v>
      </c>
      <c r="T69" s="32">
        <v>0.3208333333333333</v>
      </c>
      <c r="U69" s="286">
        <f t="shared" si="48"/>
        <v>4.9999999999999822</v>
      </c>
      <c r="V69" s="298">
        <f t="shared" si="47"/>
        <v>98.999999999999972</v>
      </c>
      <c r="W69" s="16"/>
      <c r="X69" s="16"/>
      <c r="Y69" s="16"/>
      <c r="Z69" s="16"/>
      <c r="AA69" s="612"/>
      <c r="AB69" s="612"/>
      <c r="AC69" s="18"/>
      <c r="AD69" s="18"/>
      <c r="AE69" s="14">
        <f t="shared" si="43"/>
        <v>-109.69696969696906</v>
      </c>
      <c r="AF69" s="289">
        <f t="shared" ref="AF69:AF75" si="54">M69/J69</f>
        <v>0.95429292929292953</v>
      </c>
      <c r="AG69" s="616"/>
    </row>
    <row r="70" spans="1:33" ht="15.75" customHeight="1">
      <c r="A70" s="614" t="s">
        <v>73</v>
      </c>
      <c r="B70" s="299" t="s">
        <v>20</v>
      </c>
      <c r="C70" s="660" t="s">
        <v>739</v>
      </c>
      <c r="D70" s="660"/>
      <c r="E70" s="27">
        <v>28.29</v>
      </c>
      <c r="F70" s="299">
        <v>5097</v>
      </c>
      <c r="G70" s="286">
        <f t="shared" si="45"/>
        <v>144194.13</v>
      </c>
      <c r="H70" s="31" t="s">
        <v>40</v>
      </c>
      <c r="I70" s="297">
        <v>21</v>
      </c>
      <c r="J70" s="29">
        <v>2400</v>
      </c>
      <c r="K70" s="12">
        <f t="shared" si="49"/>
        <v>114.28571428571429</v>
      </c>
      <c r="L70" s="297">
        <v>21</v>
      </c>
      <c r="M70" s="13">
        <f t="shared" si="46"/>
        <v>2299.3984962406016</v>
      </c>
      <c r="N70" s="12">
        <f t="shared" si="50"/>
        <v>109.49516648764769</v>
      </c>
      <c r="O70" s="14">
        <f t="shared" si="51"/>
        <v>0</v>
      </c>
      <c r="P70" s="15">
        <f t="shared" si="52"/>
        <v>-4.7905477980665978</v>
      </c>
      <c r="Q70" s="289">
        <f t="shared" si="53"/>
        <v>0.95808270676691731</v>
      </c>
      <c r="R70" s="616"/>
      <c r="S70" s="32">
        <v>0.32499999999999996</v>
      </c>
      <c r="T70" s="32">
        <v>0.41736111111111107</v>
      </c>
      <c r="U70" s="286">
        <f t="shared" si="48"/>
        <v>5.9999999999999787</v>
      </c>
      <c r="V70" s="298">
        <f t="shared" si="47"/>
        <v>133</v>
      </c>
      <c r="W70" s="16"/>
      <c r="X70" s="16"/>
      <c r="Y70" s="16"/>
      <c r="Z70" s="16"/>
      <c r="AA70" s="612"/>
      <c r="AB70" s="612"/>
      <c r="AC70" s="18"/>
      <c r="AD70" s="18"/>
      <c r="AE70" s="14">
        <f t="shared" si="43"/>
        <v>-100.60150375939838</v>
      </c>
      <c r="AF70" s="289">
        <f t="shared" si="54"/>
        <v>0.95808270676691731</v>
      </c>
      <c r="AG70" s="616"/>
    </row>
    <row r="71" spans="1:33" ht="15.75" customHeight="1">
      <c r="A71" s="614" t="s">
        <v>73</v>
      </c>
      <c r="B71" s="299" t="s">
        <v>20</v>
      </c>
      <c r="C71" s="660" t="s">
        <v>1420</v>
      </c>
      <c r="D71" s="660"/>
      <c r="E71" s="27">
        <v>24.25</v>
      </c>
      <c r="F71" s="299">
        <v>4400</v>
      </c>
      <c r="G71" s="286">
        <f t="shared" si="45"/>
        <v>106700</v>
      </c>
      <c r="H71" s="31">
        <v>2</v>
      </c>
      <c r="I71" s="297">
        <v>17</v>
      </c>
      <c r="J71" s="29">
        <v>2400</v>
      </c>
      <c r="K71" s="12">
        <f t="shared" si="49"/>
        <v>141.1764705882353</v>
      </c>
      <c r="L71" s="297">
        <v>17</v>
      </c>
      <c r="M71" s="13">
        <f t="shared" si="46"/>
        <v>2295.6521739130421</v>
      </c>
      <c r="N71" s="12">
        <f t="shared" si="50"/>
        <v>135.03836317135543</v>
      </c>
      <c r="O71" s="14">
        <f t="shared" si="51"/>
        <v>0</v>
      </c>
      <c r="P71" s="15">
        <f t="shared" si="52"/>
        <v>-6.1381074168798762</v>
      </c>
      <c r="Q71" s="289">
        <f t="shared" si="53"/>
        <v>0.95652173913043426</v>
      </c>
      <c r="R71" s="616"/>
      <c r="S71" s="32">
        <v>0.42083333333333328</v>
      </c>
      <c r="T71" s="32">
        <v>0.50069444444444444</v>
      </c>
      <c r="U71" s="286">
        <f t="shared" si="48"/>
        <v>4.9999999999999822</v>
      </c>
      <c r="V71" s="298">
        <f t="shared" si="47"/>
        <v>115.00000000000007</v>
      </c>
      <c r="W71" s="16">
        <f>T71</f>
        <v>0.50069444444444444</v>
      </c>
      <c r="X71" s="16">
        <f>S72</f>
        <v>0.54097222222222219</v>
      </c>
      <c r="Y71" s="16"/>
      <c r="Z71" s="16"/>
      <c r="AA71" s="612"/>
      <c r="AB71" s="612"/>
      <c r="AC71" s="18"/>
      <c r="AD71" s="18"/>
      <c r="AE71" s="14">
        <f t="shared" si="43"/>
        <v>-104.34782608695787</v>
      </c>
      <c r="AF71" s="289">
        <f t="shared" si="54"/>
        <v>0.95652173913043426</v>
      </c>
      <c r="AG71" s="616"/>
    </row>
    <row r="72" spans="1:33" ht="15.75" customHeight="1">
      <c r="A72" s="614" t="s">
        <v>73</v>
      </c>
      <c r="B72" s="299" t="s">
        <v>20</v>
      </c>
      <c r="C72" s="660" t="s">
        <v>39</v>
      </c>
      <c r="D72" s="660"/>
      <c r="E72" s="27">
        <v>19.02</v>
      </c>
      <c r="F72" s="299">
        <v>4572</v>
      </c>
      <c r="G72" s="286">
        <f t="shared" si="45"/>
        <v>86959.44</v>
      </c>
      <c r="H72" s="31" t="s">
        <v>40</v>
      </c>
      <c r="I72" s="297">
        <v>14</v>
      </c>
      <c r="J72" s="29">
        <v>2400</v>
      </c>
      <c r="K72" s="12">
        <f t="shared" si="49"/>
        <v>171.42857142857142</v>
      </c>
      <c r="L72" s="297">
        <v>14</v>
      </c>
      <c r="M72" s="13">
        <f t="shared" si="46"/>
        <v>2285.9999999999986</v>
      </c>
      <c r="N72" s="12">
        <f t="shared" si="50"/>
        <v>163.28571428571419</v>
      </c>
      <c r="O72" s="14">
        <f t="shared" si="51"/>
        <v>0</v>
      </c>
      <c r="P72" s="15">
        <f t="shared" si="52"/>
        <v>-8.1428571428572241</v>
      </c>
      <c r="Q72" s="289">
        <f t="shared" si="53"/>
        <v>0.95249999999999957</v>
      </c>
      <c r="R72" s="616"/>
      <c r="S72" s="32">
        <v>0.54097222222222219</v>
      </c>
      <c r="T72" s="32">
        <v>0.62430555555555556</v>
      </c>
      <c r="U72" s="286">
        <f t="shared" si="48"/>
        <v>57.999999999999957</v>
      </c>
      <c r="V72" s="298">
        <f t="shared" si="47"/>
        <v>120.00000000000006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-114.00000000000136</v>
      </c>
      <c r="AF72" s="289">
        <f t="shared" si="54"/>
        <v>0.95249999999999946</v>
      </c>
      <c r="AG72" s="616"/>
    </row>
    <row r="73" spans="1:33" ht="15.75" customHeight="1">
      <c r="A73" s="614" t="s">
        <v>73</v>
      </c>
      <c r="B73" s="299" t="s">
        <v>20</v>
      </c>
      <c r="C73" s="605" t="s">
        <v>1420</v>
      </c>
      <c r="D73" s="606"/>
      <c r="E73" s="27">
        <v>24.25</v>
      </c>
      <c r="F73" s="299">
        <v>3368</v>
      </c>
      <c r="G73" s="286">
        <f t="shared" si="45"/>
        <v>81674</v>
      </c>
      <c r="H73" s="31" t="s">
        <v>40</v>
      </c>
      <c r="I73" s="297">
        <v>17</v>
      </c>
      <c r="J73" s="29">
        <v>2400</v>
      </c>
      <c r="K73" s="12">
        <f t="shared" si="49"/>
        <v>141.1764705882353</v>
      </c>
      <c r="L73" s="297">
        <v>17</v>
      </c>
      <c r="M73" s="13">
        <f t="shared" si="46"/>
        <v>2296.3636363636365</v>
      </c>
      <c r="N73" s="12">
        <f t="shared" si="50"/>
        <v>135.08021390374333</v>
      </c>
      <c r="O73" s="14">
        <f t="shared" si="51"/>
        <v>0</v>
      </c>
      <c r="P73" s="15">
        <f t="shared" si="52"/>
        <v>-6.0962566844919763</v>
      </c>
      <c r="Q73" s="289">
        <f t="shared" si="53"/>
        <v>0.95681818181818179</v>
      </c>
      <c r="R73" s="616"/>
      <c r="S73" s="32">
        <v>0.62916666666666665</v>
      </c>
      <c r="T73" s="32">
        <v>0.69027777777777777</v>
      </c>
      <c r="U73" s="286">
        <f t="shared" si="48"/>
        <v>6.9999999999999751</v>
      </c>
      <c r="V73" s="298">
        <f t="shared" si="47"/>
        <v>88</v>
      </c>
      <c r="W73" s="16"/>
      <c r="X73" s="16"/>
      <c r="Y73" s="19"/>
      <c r="Z73" s="19"/>
      <c r="AA73" s="607"/>
      <c r="AB73" s="608"/>
      <c r="AC73" s="18"/>
      <c r="AD73" s="18"/>
      <c r="AE73" s="14">
        <f t="shared" si="43"/>
        <v>-103.63636363636351</v>
      </c>
      <c r="AF73" s="289">
        <f t="shared" si="54"/>
        <v>0.9568181818181819</v>
      </c>
      <c r="AG73" s="616"/>
    </row>
    <row r="74" spans="1:33" ht="15.75" customHeight="1">
      <c r="A74" s="614" t="s">
        <v>73</v>
      </c>
      <c r="B74" s="299" t="s">
        <v>20</v>
      </c>
      <c r="C74" s="605" t="s">
        <v>24</v>
      </c>
      <c r="D74" s="606"/>
      <c r="E74" s="27">
        <v>20.36</v>
      </c>
      <c r="F74" s="299">
        <v>1970</v>
      </c>
      <c r="G74" s="286">
        <f t="shared" si="45"/>
        <v>40109.199999999997</v>
      </c>
      <c r="H74" s="31" t="s">
        <v>40</v>
      </c>
      <c r="I74" s="297">
        <v>17</v>
      </c>
      <c r="J74" s="29">
        <v>2400</v>
      </c>
      <c r="K74" s="12">
        <f t="shared" si="49"/>
        <v>141.1764705882353</v>
      </c>
      <c r="L74" s="297">
        <v>17</v>
      </c>
      <c r="M74" s="13">
        <f t="shared" si="46"/>
        <v>2317.6470588235306</v>
      </c>
      <c r="N74" s="12">
        <f t="shared" si="50"/>
        <v>136.33217993079592</v>
      </c>
      <c r="O74" s="14">
        <f t="shared" si="51"/>
        <v>0</v>
      </c>
      <c r="P74" s="15">
        <f t="shared" si="52"/>
        <v>-4.8442906574393874</v>
      </c>
      <c r="Q74" s="289">
        <f t="shared" si="53"/>
        <v>0.96568627450980438</v>
      </c>
      <c r="R74" s="616"/>
      <c r="S74" s="32">
        <v>0.6958333333333333</v>
      </c>
      <c r="T74" s="32">
        <v>0.73124999999999996</v>
      </c>
      <c r="U74" s="286">
        <f t="shared" si="48"/>
        <v>7.9999999999999716</v>
      </c>
      <c r="V74" s="298">
        <f t="shared" si="47"/>
        <v>50.999999999999979</v>
      </c>
      <c r="W74" s="16"/>
      <c r="X74" s="16"/>
      <c r="Y74" s="19"/>
      <c r="Z74" s="19"/>
      <c r="AA74" s="607"/>
      <c r="AB74" s="608"/>
      <c r="AC74" s="18"/>
      <c r="AD74" s="18"/>
      <c r="AE74" s="14">
        <f t="shared" si="43"/>
        <v>-82.352941176469358</v>
      </c>
      <c r="AF74" s="289">
        <f t="shared" si="54"/>
        <v>0.96568627450980449</v>
      </c>
      <c r="AG74" s="616"/>
    </row>
    <row r="75" spans="1:33" ht="16.5" customHeight="1">
      <c r="A75" s="615" t="s">
        <v>73</v>
      </c>
      <c r="B75" s="27" t="s">
        <v>70</v>
      </c>
      <c r="C75" s="609"/>
      <c r="D75" s="610"/>
      <c r="E75" s="290"/>
      <c r="F75" s="28"/>
      <c r="G75" s="12"/>
      <c r="H75" s="299"/>
      <c r="I75" s="21">
        <v>16.75</v>
      </c>
      <c r="J75" s="29">
        <v>2400</v>
      </c>
      <c r="K75" s="12">
        <f t="shared" si="49"/>
        <v>143.28358208955223</v>
      </c>
      <c r="L75" s="21">
        <v>16.75</v>
      </c>
      <c r="M75" s="13">
        <f>AVERAGE(M67:M74)</f>
        <v>2294.5991208840514</v>
      </c>
      <c r="N75" s="12">
        <f t="shared" si="50"/>
        <v>136.99099229158517</v>
      </c>
      <c r="O75" s="14">
        <f t="shared" si="51"/>
        <v>0</v>
      </c>
      <c r="P75" s="15">
        <f t="shared" si="52"/>
        <v>-6.2925897979670538</v>
      </c>
      <c r="Q75" s="289">
        <f t="shared" si="53"/>
        <v>0.9560829670350216</v>
      </c>
      <c r="R75" s="616"/>
      <c r="S75" s="32"/>
      <c r="T75" s="32"/>
      <c r="U75" s="12"/>
      <c r="V75" s="298"/>
      <c r="W75" s="12"/>
      <c r="X75" s="12"/>
      <c r="Y75" s="22">
        <f>SUM(Y67:Y74)</f>
        <v>0</v>
      </c>
      <c r="Z75" s="22">
        <f>SUM(Z67:Z74)</f>
        <v>0</v>
      </c>
      <c r="AA75" s="611"/>
      <c r="AB75" s="611"/>
      <c r="AC75" s="22">
        <v>8</v>
      </c>
      <c r="AD75" s="22">
        <f>SUM(AD67:AD74)</f>
        <v>0</v>
      </c>
      <c r="AE75" s="14">
        <f t="shared" si="43"/>
        <v>-105.40087911594856</v>
      </c>
      <c r="AF75" s="289">
        <f t="shared" si="54"/>
        <v>0.95608296703502138</v>
      </c>
      <c r="AG75" s="616"/>
    </row>
    <row r="76" spans="1:33">
      <c r="D76" s="23"/>
      <c r="E76" s="23"/>
    </row>
  </sheetData>
  <mergeCells count="199"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A3:A4"/>
    <mergeCell ref="A8:A14"/>
    <mergeCell ref="C8:D8"/>
    <mergeCell ref="R8:R14"/>
    <mergeCell ref="AA8:AB8"/>
    <mergeCell ref="AA13:AB13"/>
    <mergeCell ref="C14:D14"/>
    <mergeCell ref="AA14:AB14"/>
    <mergeCell ref="AG15:AG22"/>
    <mergeCell ref="C16:D16"/>
    <mergeCell ref="AA16:AB16"/>
    <mergeCell ref="C17:D17"/>
    <mergeCell ref="AA17:AB17"/>
    <mergeCell ref="C18:D18"/>
    <mergeCell ref="AG8:AG14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8:AB18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A47:AB47"/>
    <mergeCell ref="A31:A38"/>
    <mergeCell ref="C31:D31"/>
    <mergeCell ref="R31:R38"/>
    <mergeCell ref="AA31:AB31"/>
    <mergeCell ref="AA36:AB36"/>
    <mergeCell ref="C37:D37"/>
    <mergeCell ref="AG31:AG38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8:D38"/>
    <mergeCell ref="AA38:AB38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G53:AG61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1:D61"/>
    <mergeCell ref="AA61:AB61"/>
    <mergeCell ref="A62:A66"/>
    <mergeCell ref="C62:D62"/>
    <mergeCell ref="R62:R66"/>
    <mergeCell ref="AA62:AB62"/>
    <mergeCell ref="AA57:AB57"/>
    <mergeCell ref="C58:D58"/>
    <mergeCell ref="AA58:AB58"/>
    <mergeCell ref="C59:D59"/>
    <mergeCell ref="AA59:AB59"/>
    <mergeCell ref="C60:D60"/>
    <mergeCell ref="AA60:AB60"/>
    <mergeCell ref="A53:A61"/>
    <mergeCell ref="C53:D53"/>
    <mergeCell ref="R53:R61"/>
    <mergeCell ref="AA53:AB5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5"/>
    <mergeCell ref="C67:D67"/>
    <mergeCell ref="R67:R75"/>
    <mergeCell ref="AA67:AB67"/>
    <mergeCell ref="AG67:AG75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5 O5:O8 O14:O16 O22:O58">
    <cfRule type="cellIs" dxfId="1010" priority="63" operator="greaterThan">
      <formula>0</formula>
    </cfRule>
  </conditionalFormatting>
  <conditionalFormatting sqref="P5:P6 P65 AE65 P67:P72 P31:P37 P62 P8 P14:P16 P23:P29 P53:P58 P39:P51 AE5:AE62 AE67:AE75">
    <cfRule type="cellIs" dxfId="1009" priority="67" operator="lessThan">
      <formula>0</formula>
    </cfRule>
  </conditionalFormatting>
  <conditionalFormatting sqref="AF65 Q65:Q72 Q61:Q62 Q75 Q5:Q8 Q14:Q16 Q22:Q58 AF5:AF62 AF67:AF75">
    <cfRule type="cellIs" dxfId="1008" priority="64" operator="greaterThan">
      <formula>1</formula>
    </cfRule>
    <cfRule type="cellIs" dxfId="1007" priority="65" operator="lessThan">
      <formula>0.8</formula>
    </cfRule>
  </conditionalFormatting>
  <conditionalFormatting sqref="AG15:AG16 R15:R16 AG65 R65:R72 R22:R28 AG22:AG28 AG61:AG62 R61:R62 R75 AG5:AG8 R5:R8 AG30:AG58 R30:R58">
    <cfRule type="cellIs" dxfId="1006" priority="69" operator="lessThan">
      <formula>0.8</formula>
    </cfRule>
  </conditionalFormatting>
  <conditionalFormatting sqref="AG48">
    <cfRule type="cellIs" dxfId="1005" priority="71" operator="lessThan">
      <formula>0.8</formula>
    </cfRule>
  </conditionalFormatting>
  <conditionalFormatting sqref="AG23:AG28">
    <cfRule type="cellIs" dxfId="1004" priority="68" operator="lessThan">
      <formula>0.8</formula>
    </cfRule>
  </conditionalFormatting>
  <conditionalFormatting sqref="AG31">
    <cfRule type="cellIs" dxfId="1003" priority="70" operator="lessThan">
      <formula>0.8</formula>
    </cfRule>
  </conditionalFormatting>
  <conditionalFormatting sqref="AG39:AG46">
    <cfRule type="cellIs" dxfId="1002" priority="66" operator="lessThan">
      <formula>0.8</formula>
    </cfRule>
  </conditionalFormatting>
  <conditionalFormatting sqref="AE66">
    <cfRule type="cellIs" dxfId="1001" priority="62" operator="lessThan">
      <formula>0</formula>
    </cfRule>
  </conditionalFormatting>
  <conditionalFormatting sqref="AF66">
    <cfRule type="cellIs" dxfId="1000" priority="60" operator="greaterThan">
      <formula>1</formula>
    </cfRule>
    <cfRule type="cellIs" dxfId="999" priority="61" operator="lessThan">
      <formula>0.8</formula>
    </cfRule>
  </conditionalFormatting>
  <conditionalFormatting sqref="O17:O18">
    <cfRule type="cellIs" dxfId="998" priority="55" operator="greaterThan">
      <formula>0</formula>
    </cfRule>
  </conditionalFormatting>
  <conditionalFormatting sqref="P17:P18">
    <cfRule type="cellIs" dxfId="997" priority="58" operator="lessThan">
      <formula>0</formula>
    </cfRule>
  </conditionalFormatting>
  <conditionalFormatting sqref="Q17:Q18">
    <cfRule type="cellIs" dxfId="996" priority="56" operator="greaterThan">
      <formula>1</formula>
    </cfRule>
    <cfRule type="cellIs" dxfId="995" priority="57" operator="lessThan">
      <formula>0.8</formula>
    </cfRule>
  </conditionalFormatting>
  <conditionalFormatting sqref="R17:R18 AG17:AG18">
    <cfRule type="cellIs" dxfId="994" priority="59" operator="lessThan">
      <formula>0.8</formula>
    </cfRule>
  </conditionalFormatting>
  <conditionalFormatting sqref="O9:O13">
    <cfRule type="cellIs" dxfId="993" priority="51" operator="greaterThan">
      <formula>0</formula>
    </cfRule>
  </conditionalFormatting>
  <conditionalFormatting sqref="P9:P13">
    <cfRule type="cellIs" dxfId="992" priority="54" operator="lessThan">
      <formula>0</formula>
    </cfRule>
  </conditionalFormatting>
  <conditionalFormatting sqref="Q9:Q13">
    <cfRule type="cellIs" dxfId="991" priority="52" operator="greaterThan">
      <formula>1</formula>
    </cfRule>
    <cfRule type="cellIs" dxfId="990" priority="53" operator="lessThan">
      <formula>0.8</formula>
    </cfRule>
  </conditionalFormatting>
  <conditionalFormatting sqref="O59">
    <cfRule type="cellIs" dxfId="989" priority="46" operator="greaterThan">
      <formula>0</formula>
    </cfRule>
  </conditionalFormatting>
  <conditionalFormatting sqref="P59">
    <cfRule type="cellIs" dxfId="988" priority="49" operator="lessThan">
      <formula>0</formula>
    </cfRule>
  </conditionalFormatting>
  <conditionalFormatting sqref="Q59">
    <cfRule type="cellIs" dxfId="987" priority="47" operator="greaterThan">
      <formula>1</formula>
    </cfRule>
    <cfRule type="cellIs" dxfId="986" priority="48" operator="lessThan">
      <formula>0.8</formula>
    </cfRule>
  </conditionalFormatting>
  <conditionalFormatting sqref="R59 AG59">
    <cfRule type="cellIs" dxfId="985" priority="50" operator="lessThan">
      <formula>0.8</formula>
    </cfRule>
  </conditionalFormatting>
  <conditionalFormatting sqref="O64">
    <cfRule type="cellIs" dxfId="984" priority="41" operator="greaterThan">
      <formula>0</formula>
    </cfRule>
  </conditionalFormatting>
  <conditionalFormatting sqref="P64 AE64">
    <cfRule type="cellIs" dxfId="983" priority="44" operator="lessThan">
      <formula>0</formula>
    </cfRule>
  </conditionalFormatting>
  <conditionalFormatting sqref="Q64 AF64">
    <cfRule type="cellIs" dxfId="982" priority="42" operator="greaterThan">
      <formula>1</formula>
    </cfRule>
    <cfRule type="cellIs" dxfId="981" priority="43" operator="lessThan">
      <formula>0.8</formula>
    </cfRule>
  </conditionalFormatting>
  <conditionalFormatting sqref="R64 AG64">
    <cfRule type="cellIs" dxfId="980" priority="45" operator="lessThan">
      <formula>0.8</formula>
    </cfRule>
  </conditionalFormatting>
  <conditionalFormatting sqref="O73">
    <cfRule type="cellIs" dxfId="979" priority="36" operator="greaterThan">
      <formula>0</formula>
    </cfRule>
  </conditionalFormatting>
  <conditionalFormatting sqref="P73">
    <cfRule type="cellIs" dxfId="978" priority="39" operator="lessThan">
      <formula>0</formula>
    </cfRule>
  </conditionalFormatting>
  <conditionalFormatting sqref="Q73">
    <cfRule type="cellIs" dxfId="977" priority="37" operator="greaterThan">
      <formula>1</formula>
    </cfRule>
    <cfRule type="cellIs" dxfId="976" priority="38" operator="lessThan">
      <formula>0.8</formula>
    </cfRule>
  </conditionalFormatting>
  <conditionalFormatting sqref="R73">
    <cfRule type="cellIs" dxfId="975" priority="40" operator="lessThan">
      <formula>0.8</formula>
    </cfRule>
  </conditionalFormatting>
  <conditionalFormatting sqref="O19:O20">
    <cfRule type="cellIs" dxfId="974" priority="31" operator="greaterThan">
      <formula>0</formula>
    </cfRule>
  </conditionalFormatting>
  <conditionalFormatting sqref="P19:P20">
    <cfRule type="cellIs" dxfId="973" priority="34" operator="lessThan">
      <formula>0</formula>
    </cfRule>
  </conditionalFormatting>
  <conditionalFormatting sqref="Q19:Q20">
    <cfRule type="cellIs" dxfId="972" priority="32" operator="greaterThan">
      <formula>1</formula>
    </cfRule>
    <cfRule type="cellIs" dxfId="971" priority="33" operator="lessThan">
      <formula>0.8</formula>
    </cfRule>
  </conditionalFormatting>
  <conditionalFormatting sqref="R19:R20 AG19:AG20">
    <cfRule type="cellIs" dxfId="970" priority="35" operator="lessThan">
      <formula>0.8</formula>
    </cfRule>
  </conditionalFormatting>
  <conditionalFormatting sqref="O60">
    <cfRule type="cellIs" dxfId="969" priority="26" operator="greaterThan">
      <formula>0</formula>
    </cfRule>
  </conditionalFormatting>
  <conditionalFormatting sqref="P60">
    <cfRule type="cellIs" dxfId="968" priority="29" operator="lessThan">
      <formula>0</formula>
    </cfRule>
  </conditionalFormatting>
  <conditionalFormatting sqref="Q60">
    <cfRule type="cellIs" dxfId="967" priority="27" operator="greaterThan">
      <formula>1</formula>
    </cfRule>
    <cfRule type="cellIs" dxfId="966" priority="28" operator="lessThan">
      <formula>0.8</formula>
    </cfRule>
  </conditionalFormatting>
  <conditionalFormatting sqref="AG60 R60">
    <cfRule type="cellIs" dxfId="965" priority="30" operator="lessThan">
      <formula>0.8</formula>
    </cfRule>
  </conditionalFormatting>
  <conditionalFormatting sqref="R29 AG29">
    <cfRule type="cellIs" dxfId="964" priority="25" operator="lessThan">
      <formula>0.8</formula>
    </cfRule>
  </conditionalFormatting>
  <conditionalFormatting sqref="AG29">
    <cfRule type="cellIs" dxfId="963" priority="24" operator="lessThan">
      <formula>0.8</formula>
    </cfRule>
  </conditionalFormatting>
  <conditionalFormatting sqref="O63">
    <cfRule type="cellIs" dxfId="962" priority="19" operator="greaterThan">
      <formula>0</formula>
    </cfRule>
  </conditionalFormatting>
  <conditionalFormatting sqref="P63 AE63">
    <cfRule type="cellIs" dxfId="961" priority="22" operator="lessThan">
      <formula>0</formula>
    </cfRule>
  </conditionalFormatting>
  <conditionalFormatting sqref="Q63 AF63">
    <cfRule type="cellIs" dxfId="960" priority="20" operator="greaterThan">
      <formula>1</formula>
    </cfRule>
    <cfRule type="cellIs" dxfId="959" priority="21" operator="lessThan">
      <formula>0.8</formula>
    </cfRule>
  </conditionalFormatting>
  <conditionalFormatting sqref="R63 AG63">
    <cfRule type="cellIs" dxfId="958" priority="23" operator="lessThan">
      <formula>0.8</formula>
    </cfRule>
  </conditionalFormatting>
  <conditionalFormatting sqref="O21">
    <cfRule type="cellIs" dxfId="957" priority="14" operator="greaterThan">
      <formula>0</formula>
    </cfRule>
  </conditionalFormatting>
  <conditionalFormatting sqref="P21">
    <cfRule type="cellIs" dxfId="956" priority="17" operator="lessThan">
      <formula>0</formula>
    </cfRule>
  </conditionalFormatting>
  <conditionalFormatting sqref="Q21">
    <cfRule type="cellIs" dxfId="955" priority="15" operator="greaterThan">
      <formula>1</formula>
    </cfRule>
    <cfRule type="cellIs" dxfId="954" priority="16" operator="lessThan">
      <formula>0.8</formula>
    </cfRule>
  </conditionalFormatting>
  <conditionalFormatting sqref="AG21 R21">
    <cfRule type="cellIs" dxfId="953" priority="18" operator="lessThan">
      <formula>0.8</formula>
    </cfRule>
  </conditionalFormatting>
  <conditionalFormatting sqref="P7">
    <cfRule type="cellIs" dxfId="952" priority="13" operator="lessThan">
      <formula>0</formula>
    </cfRule>
  </conditionalFormatting>
  <conditionalFormatting sqref="P22">
    <cfRule type="cellIs" dxfId="951" priority="12" operator="lessThan">
      <formula>0</formula>
    </cfRule>
  </conditionalFormatting>
  <conditionalFormatting sqref="P30">
    <cfRule type="cellIs" dxfId="950" priority="11" operator="lessThan">
      <formula>0</formula>
    </cfRule>
  </conditionalFormatting>
  <conditionalFormatting sqref="P38">
    <cfRule type="cellIs" dxfId="949" priority="10" operator="lessThan">
      <formula>0</formula>
    </cfRule>
  </conditionalFormatting>
  <conditionalFormatting sqref="P52">
    <cfRule type="cellIs" dxfId="948" priority="9" operator="lessThan">
      <formula>0</formula>
    </cfRule>
  </conditionalFormatting>
  <conditionalFormatting sqref="P61">
    <cfRule type="cellIs" dxfId="947" priority="8" operator="lessThan">
      <formula>0</formula>
    </cfRule>
  </conditionalFormatting>
  <conditionalFormatting sqref="P66">
    <cfRule type="cellIs" dxfId="946" priority="7" operator="lessThan">
      <formula>0</formula>
    </cfRule>
  </conditionalFormatting>
  <conditionalFormatting sqref="P75">
    <cfRule type="cellIs" dxfId="945" priority="6" operator="lessThan">
      <formula>0</formula>
    </cfRule>
  </conditionalFormatting>
  <conditionalFormatting sqref="O74">
    <cfRule type="cellIs" dxfId="944" priority="1" operator="greaterThan">
      <formula>0</formula>
    </cfRule>
  </conditionalFormatting>
  <conditionalFormatting sqref="P74">
    <cfRule type="cellIs" dxfId="943" priority="4" operator="lessThan">
      <formula>0</formula>
    </cfRule>
  </conditionalFormatting>
  <conditionalFormatting sqref="Q74">
    <cfRule type="cellIs" dxfId="942" priority="2" operator="greaterThan">
      <formula>1</formula>
    </cfRule>
    <cfRule type="cellIs" dxfId="941" priority="3" operator="lessThan">
      <formula>0.8</formula>
    </cfRule>
  </conditionalFormatting>
  <conditionalFormatting sqref="R74">
    <cfRule type="cellIs" dxfId="940" priority="5" operator="lessThan">
      <formula>0.8</formula>
    </cfRule>
  </conditionalFormatting>
  <dataValidations count="1">
    <dataValidation type="list" allowBlank="1" showInputMessage="1" showErrorMessage="1" sqref="AB7 AA5:AB6 AA7:AA65 AB9:AB62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1333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1334</v>
      </c>
      <c r="C3" s="594" t="str">
        <f>TEXT('0714 4度C'!A2,"yyyy.mm.ddaaaa")</f>
        <v>2026.07.14星期二</v>
      </c>
      <c r="D3" s="595"/>
      <c r="E3" s="36" t="s">
        <v>1335</v>
      </c>
      <c r="F3" s="596">
        <f>'0714 4度C'!D1</f>
        <v>193610</v>
      </c>
      <c r="G3" s="597"/>
      <c r="H3" s="36" t="s">
        <v>87</v>
      </c>
      <c r="I3" s="598">
        <f>'0714 4度C'!F1</f>
        <v>6653100.4100000011</v>
      </c>
      <c r="J3" s="599"/>
      <c r="K3" s="37"/>
      <c r="L3" s="38"/>
      <c r="M3" s="39"/>
      <c r="N3" s="39"/>
    </row>
    <row r="4" spans="2:17" ht="28.5" customHeight="1">
      <c r="B4" s="600" t="s">
        <v>1336</v>
      </c>
      <c r="C4" s="586" t="s">
        <v>89</v>
      </c>
      <c r="D4" s="587"/>
      <c r="E4" s="603" t="s">
        <v>196</v>
      </c>
      <c r="F4" s="604"/>
      <c r="G4" s="603" t="s">
        <v>91</v>
      </c>
      <c r="H4" s="604"/>
      <c r="I4" s="603" t="s">
        <v>198</v>
      </c>
      <c r="J4" s="604"/>
      <c r="K4" s="584" t="s">
        <v>1337</v>
      </c>
      <c r="L4" s="585"/>
      <c r="M4" s="585" t="s">
        <v>1338</v>
      </c>
      <c r="N4" s="585"/>
    </row>
    <row r="5" spans="2:17" ht="28.5" customHeight="1">
      <c r="B5" s="601"/>
      <c r="C5" s="586" t="s">
        <v>1339</v>
      </c>
      <c r="D5" s="587"/>
      <c r="E5" s="586" t="s">
        <v>1340</v>
      </c>
      <c r="F5" s="587"/>
      <c r="G5" s="588" t="s">
        <v>1341</v>
      </c>
      <c r="H5" s="589"/>
      <c r="I5" s="590" t="s">
        <v>1342</v>
      </c>
      <c r="J5" s="591"/>
      <c r="K5" s="40" t="s">
        <v>1343</v>
      </c>
      <c r="L5" s="41" t="s">
        <v>100</v>
      </c>
      <c r="M5" s="40" t="s">
        <v>99</v>
      </c>
      <c r="N5" s="41" t="s">
        <v>1344</v>
      </c>
    </row>
    <row r="6" spans="2:17" ht="28.5" customHeight="1">
      <c r="B6" s="601"/>
      <c r="C6" s="586" t="s">
        <v>41</v>
      </c>
      <c r="D6" s="587"/>
      <c r="E6" s="578">
        <f>AVERAGE(D13:M13)</f>
        <v>157.63160774631291</v>
      </c>
      <c r="F6" s="579">
        <f>AVERAGE(D31:O31,D13:J13)</f>
        <v>167.16790750234773</v>
      </c>
      <c r="G6" s="580">
        <f>AVERAGE(D13:J13)</f>
        <v>167.16790750234773</v>
      </c>
      <c r="H6" s="581"/>
      <c r="I6" s="580">
        <f>AVERAGE(K13:M13)</f>
        <v>135.38024164889836</v>
      </c>
      <c r="J6" s="581"/>
      <c r="K6" s="582">
        <f>'0714 4度C'!Y2</f>
        <v>0</v>
      </c>
      <c r="L6" s="567">
        <f>'0714 4度C'!Z2</f>
        <v>0</v>
      </c>
      <c r="M6" s="583">
        <f>'0714 4度C'!AC2</f>
        <v>63</v>
      </c>
      <c r="N6" s="567">
        <f>'0714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151.08680282727059</v>
      </c>
      <c r="F7" s="571">
        <f>AVERAGE(D32:O32,D14:J14)</f>
        <v>160.28405787162802</v>
      </c>
      <c r="G7" s="572">
        <f>AVERAGE(D14:J14)</f>
        <v>160.28405787162802</v>
      </c>
      <c r="H7" s="573"/>
      <c r="I7" s="572">
        <f>AVERAGE(K14:M14)</f>
        <v>129.62654105710325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0.95790191479287545</v>
      </c>
      <c r="F8" s="575">
        <f>AVERAGE(D15:J15,D33:O33)</f>
        <v>0.9580715862586161</v>
      </c>
      <c r="G8" s="576">
        <f>AVERAGE(D15:J15)</f>
        <v>0.9580715862586161</v>
      </c>
      <c r="H8" s="577"/>
      <c r="I8" s="576">
        <f>AVERAGE(K15:M15)</f>
        <v>0.95750601470614694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1345</v>
      </c>
      <c r="N9" s="39"/>
      <c r="O9" s="39"/>
      <c r="P9" s="39"/>
      <c r="Q9" s="39"/>
    </row>
    <row r="10" spans="2:17" ht="30" customHeight="1">
      <c r="B10" s="550" t="s">
        <v>1346</v>
      </c>
      <c r="C10" s="551"/>
      <c r="D10" s="552" t="s">
        <v>1347</v>
      </c>
      <c r="E10" s="553"/>
      <c r="F10" s="553"/>
      <c r="G10" s="553"/>
      <c r="H10" s="553"/>
      <c r="I10" s="553"/>
      <c r="J10" s="554"/>
      <c r="K10" s="555" t="s">
        <v>1348</v>
      </c>
      <c r="L10" s="556"/>
      <c r="M10" s="557"/>
      <c r="P10" s="45"/>
      <c r="Q10" s="45"/>
    </row>
    <row r="11" spans="2:17" ht="17.25" customHeight="1">
      <c r="B11" s="558" t="s">
        <v>1349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142</v>
      </c>
      <c r="C13" s="52" t="s">
        <v>1350</v>
      </c>
      <c r="D13" s="53">
        <f>SUMIFS('0714 4度C'!$K:$K,'0714 4度C'!$A:$A,"新豐6線",'0714 4度C'!$B:$B,"平均")</f>
        <v>129.03225806451613</v>
      </c>
      <c r="E13" s="54">
        <f>SUMIFS('0714 4度C'!$K:$K,'0714 4度C'!$A:$A,"新豐2線",'0714 4度C'!$B:$B,"平均")</f>
        <v>88.235294117647058</v>
      </c>
      <c r="F13" s="55">
        <f>SUMIFS('0714 4度C'!$K:$K,'0714 4度C'!$A:$A,"新豐5線",'0714 4度C'!$B:$B,"平均")</f>
        <v>93.75</v>
      </c>
      <c r="G13" s="55">
        <f>SUMIFS('0714 4度C'!$K:$K,'0714 4度C'!$A:$A,"新豐7線",'0714 4度C'!$B:$B,"平均")</f>
        <v>126.12612612612612</v>
      </c>
      <c r="H13" s="55">
        <f>SUMIFS('0714 4度C'!$K:$K,'0714 4度C'!$A:$A,"新豐3線",'0714 4度C'!$B:$B,"平均")</f>
        <v>307.69230769230768</v>
      </c>
      <c r="I13" s="55">
        <f>SUMIFS('0714 4度C'!$K:$K,'0714 4度C'!$A:$A,"新豐1線",'0714 4度C'!$B:$B,"平均")</f>
        <v>117.64705882352941</v>
      </c>
      <c r="J13" s="56">
        <f>SUMIFS('0714 4度C'!$K:$K,'0714 4度C'!$A:$A,"新豐10線",'0714 4度C'!$B:$B,"平均")</f>
        <v>307.69230769230768</v>
      </c>
      <c r="K13" s="57">
        <f>SUMIFS('0714 4度C'!$K:$K,'0714 4度C'!$A:$A,"新豐8線",'0714 4度C'!$B:$B,"平均")</f>
        <v>137.14285714285714</v>
      </c>
      <c r="L13" s="58">
        <f>SUMIFS('0714 4度C'!$K:$K,'0714 4度C'!$A:$A,"新豐9線",'0714 4度C'!$B:$B,"平均")</f>
        <v>125.71428571428571</v>
      </c>
      <c r="M13" s="56">
        <f>SUMIFS('0714 4度C'!$K:$K,'0714 4度C'!$A:$A,"新豐4線",'0714 4度C'!$B:$B,"平均")</f>
        <v>143.28358208955223</v>
      </c>
    </row>
    <row r="14" spans="2:17" ht="39.6" customHeight="1">
      <c r="B14" s="563"/>
      <c r="C14" s="59" t="s">
        <v>1351</v>
      </c>
      <c r="D14" s="60">
        <f>SUMIFS('0714 4度C'!$N:$N,'0714 4度C'!$A:$A,"新豐6線",'0714 4度C'!$B:$B,"平均")</f>
        <v>122.99110058023471</v>
      </c>
      <c r="E14" s="61">
        <f>SUMIFS('0714 4度C'!$N:$N,'0714 4度C'!$A:$A,"新豐2線",'0714 4度C'!$B:$B,"平均")</f>
        <v>84.322602652152412</v>
      </c>
      <c r="F14" s="61">
        <f>SUMIFS('0714 4度C'!$N:$N,'0714 4度C'!$A:$A,"新豐5線",'0714 4度C'!$B:$B,"平均")</f>
        <v>89.719092678050515</v>
      </c>
      <c r="G14" s="61">
        <f>SUMIFS('0714 4度C'!$N:$N,'0714 4度C'!$A:$A,"新豐7線",'0714 4度C'!$B:$B,"平均")</f>
        <v>121.19876249933522</v>
      </c>
      <c r="H14" s="61">
        <f>SUMIFS('0714 4度C'!$N:$N,'0714 4度C'!$A:$A,"新豐3線",'0714 4度C'!$B:$B,"平均")</f>
        <v>294.49283856636254</v>
      </c>
      <c r="I14" s="61">
        <f>SUMIFS('0714 4度C'!$N:$N,'0714 4度C'!$A:$A,"新豐1線",'0714 4度C'!$B:$B,"平均")</f>
        <v>112.86046826889059</v>
      </c>
      <c r="J14" s="62">
        <f>SUMIFS('0714 4度C'!$N:$N,'0714 4度C'!$A:$A,"新豐10線",'0714 4度C'!$B:$B,"平均")</f>
        <v>296.40353985637017</v>
      </c>
      <c r="K14" s="63">
        <f>SUMIFS('0714 4度C'!$N:$N,'0714 4度C'!$A:$A,"新豐8線",'0714 4度C'!$B:$B,"平均")</f>
        <v>131.31074164216719</v>
      </c>
      <c r="L14" s="64">
        <f>SUMIFS('0714 4度C'!$N:$N,'0714 4度C'!$A:$A,"新豐9線",'0714 4度C'!$B:$B,"平均")</f>
        <v>120.39192919864563</v>
      </c>
      <c r="M14" s="62">
        <f>SUMIFS('0714 4度C'!$N:$N,'0714 4度C'!$A:$A,"新豐4線",'0714 4度C'!$B:$B,"平均")</f>
        <v>137.17695233049696</v>
      </c>
    </row>
    <row r="15" spans="2:17" ht="40.15" customHeight="1">
      <c r="B15" s="564"/>
      <c r="C15" s="65" t="s">
        <v>1352</v>
      </c>
      <c r="D15" s="66">
        <f t="shared" ref="D15:M15" si="0">D14/D13</f>
        <v>0.95318102949681904</v>
      </c>
      <c r="E15" s="67">
        <f t="shared" si="0"/>
        <v>0.95565616339106063</v>
      </c>
      <c r="F15" s="67">
        <f t="shared" si="0"/>
        <v>0.95700365523253883</v>
      </c>
      <c r="G15" s="67">
        <f t="shared" si="0"/>
        <v>0.96093304553044356</v>
      </c>
      <c r="H15" s="67">
        <f t="shared" si="0"/>
        <v>0.95710172534067828</v>
      </c>
      <c r="I15" s="67">
        <f t="shared" si="0"/>
        <v>0.95931398028557002</v>
      </c>
      <c r="J15" s="68">
        <f t="shared" si="0"/>
        <v>0.96331150453320313</v>
      </c>
      <c r="K15" s="66">
        <f t="shared" si="0"/>
        <v>0.95747415780746914</v>
      </c>
      <c r="L15" s="67">
        <f t="shared" si="0"/>
        <v>0.95766307317104482</v>
      </c>
      <c r="M15" s="68">
        <f t="shared" si="0"/>
        <v>0.95738081313992673</v>
      </c>
    </row>
    <row r="16" spans="2:17" ht="17.25" customHeight="1">
      <c r="B16" s="565" t="s">
        <v>111</v>
      </c>
      <c r="C16" s="69" t="s">
        <v>1353</v>
      </c>
      <c r="D16" s="70">
        <f>VLOOKUP("新豐6線",'0714 4度C'!$A:$T,19,0)</f>
        <v>0.70833333333333337</v>
      </c>
      <c r="E16" s="71">
        <f>VLOOKUP("新豐2線",'0714 4度C'!$A:$T,19,0)</f>
        <v>8.3333333333333329E-2</v>
      </c>
      <c r="F16" s="71">
        <f>VLOOKUP("新豐5線",'0714 4度C'!$A:$T,19,0)</f>
        <v>8.3333333333333329E-2</v>
      </c>
      <c r="G16" s="71">
        <f>VLOOKUP("新豐7線",'0714 4度C'!$A:$T,19,0)</f>
        <v>0.20833333333333334</v>
      </c>
      <c r="H16" s="71">
        <f>VLOOKUP("新豐3線",'0714 4度C'!$A:$T,19,0)</f>
        <v>0.20833333333333334</v>
      </c>
      <c r="I16" s="71">
        <f>VLOOKUP("新豐1線",'0714 4度C'!$A:$T,19,0)</f>
        <v>0.20833333333333334</v>
      </c>
      <c r="J16" s="72">
        <f>VLOOKUP("新豐10線",'0714 4度C'!$A:$T,19,0)</f>
        <v>0.20833333333333334</v>
      </c>
      <c r="K16" s="73">
        <f>VLOOKUP("新豐8線",'0714 4度C'!$A:$T,19,0)</f>
        <v>8.3333333333333329E-2</v>
      </c>
      <c r="L16" s="74">
        <f>VLOOKUP("新豐9線",'0714 4度C'!$A:$T,19,0)</f>
        <v>8.3333333333333329E-2</v>
      </c>
      <c r="M16" s="75">
        <f>VLOOKUP("新豐4線",'0714 4度C'!$A:$T,19,0)</f>
        <v>8.3333333333333329E-2</v>
      </c>
    </row>
    <row r="17" spans="2:13" ht="17.25" customHeight="1">
      <c r="B17" s="566"/>
      <c r="C17" s="69" t="s">
        <v>113</v>
      </c>
      <c r="D17" s="73">
        <f>LOOKUP(2,1/(('0714 4度C'!$A:$A="新豐6線")*('0714 4度C'!$T:$T&lt;&gt;"")),'0714 4度C'!$T:$T)</f>
        <v>0.84097222222222223</v>
      </c>
      <c r="E17" s="71">
        <f>LOOKUP(2,1/(('0714 4度C'!$A:$A="新豐2線")*('0714 4度C'!$T:$T&lt;&gt;"")),'0714 4度C'!$T:$T)</f>
        <v>0.68472222222222212</v>
      </c>
      <c r="F17" s="71">
        <f>LOOKUP(2,1/(('0714 4度C'!$A:$A="新豐5線")*('0714 4度C'!$T:$T&lt;&gt;"")),'0714 4度C'!$T:$T)</f>
        <v>0.83958333333333335</v>
      </c>
      <c r="G17" s="71">
        <f>LOOKUP(2,1/(('0714 4度C'!$A:$A="新豐7線")*('0714 4度C'!$T:$T&lt;&gt;"")),'0714 4度C'!$T:$T)</f>
        <v>0.94027777777777777</v>
      </c>
      <c r="H17" s="71">
        <f>LOOKUP(2,1/(('0714 4度C'!$A:$A="新豐3線")*('0714 4度C'!$T:$T&lt;&gt;"")),'0714 4度C'!$T:$T)</f>
        <v>0.46180555555555552</v>
      </c>
      <c r="I17" s="71">
        <f>LOOKUP(2,1/(('0714 4度C'!$A:$A="新豐1線")*('0714 4度C'!$T:$T&lt;&gt;"")),'0714 4度C'!$T:$T)</f>
        <v>0.90069444444444446</v>
      </c>
      <c r="J17" s="72">
        <f>LOOKUP(2,1/(('0714 4度C'!$A:$A="新豐10線")*('0714 4度C'!$T:$T&lt;&gt;"")),'0714 4度C'!$T:$T)</f>
        <v>0.38333333333333325</v>
      </c>
      <c r="K17" s="70">
        <f>LOOKUP(2,1/(('0714 4度C'!$A:$A="新豐8線")*('0714 4度C'!$T:$T&lt;&gt;"")),'0714 4度C'!$T:$T)</f>
        <v>0.71944444444444433</v>
      </c>
      <c r="L17" s="71">
        <f>LOOKUP(2,1/(('0714 4度C'!$A:$A="新豐9線")*('0714 4度C'!$T:$T&lt;&gt;"")),'0714 4度C'!$T:$T)</f>
        <v>0.71319444444444446</v>
      </c>
      <c r="M17" s="72">
        <f>LOOKUP(2,1/(('0714 4度C'!$A:$A="新豐4線")*('0714 4度C'!$T:$T&lt;&gt;"")),'0714 4度C'!$T:$T)</f>
        <v>0.7749999999999998</v>
      </c>
    </row>
    <row r="18" spans="2:13" ht="17.25" customHeight="1">
      <c r="B18" s="544" t="s">
        <v>1354</v>
      </c>
      <c r="C18" s="76" t="s">
        <v>1355</v>
      </c>
      <c r="D18" s="77">
        <f>SUMIFS('0714 4度C'!$Y:$Y,'0714 4度C'!$A:$A,"新豐6線",'0714 4度C'!$B:$B,"平均")</f>
        <v>0</v>
      </c>
      <c r="E18" s="78">
        <f>SUMIFS('0714 4度C'!$Y:$Y,'0714 4度C'!$A:$A,"新豐2線",'0714 4度C'!$B:$B,"平均")</f>
        <v>0</v>
      </c>
      <c r="F18" s="78">
        <f>SUMIFS('0714 4度C'!$Y:$Y,'0714 4度C'!$A:$A,"新豐5線",'0714 4度C'!$B:$B,"平均")</f>
        <v>0</v>
      </c>
      <c r="G18" s="78">
        <f>SUMIFS('0714 4度C'!$Y:$Y,'0714 4度C'!$A:$A,"新豐7線",'0714 4度C'!$B:$B,"平均")</f>
        <v>0</v>
      </c>
      <c r="H18" s="78">
        <f>SUMIFS('0714 4度C'!$Y:$Y,'0714 4度C'!$A:$A,"新豐3線",'0714 4度C'!$B:$B,"平均")</f>
        <v>0</v>
      </c>
      <c r="I18" s="78">
        <f>SUMIFS('0714 4度C'!$Y:$Y,'0714 4度C'!$A:$A,"新豐1線",'0714 4度C'!$B:$B,"平均")</f>
        <v>0</v>
      </c>
      <c r="J18" s="79">
        <f>SUMIFS('0714 4度C'!$Y:$Y,'0714 4度C'!$A:$A,"新豐10線",'0714 4度C'!$B:$B,"平均")</f>
        <v>0</v>
      </c>
      <c r="K18" s="80">
        <f>SUMIFS('0714 4度C'!$Y:$Y,'0714 4度C'!$A:$A,"新豐8線",'0714 4度C'!$B:$B,"平均")</f>
        <v>0</v>
      </c>
      <c r="L18" s="78">
        <f>SUMIFS('0714 4度C'!$Y:$Y,'0714 4度C'!$A:$A,"新豐9線",'0714 4度C'!$B:$B,"平均")</f>
        <v>0</v>
      </c>
      <c r="M18" s="79">
        <f>SUMIFS('0714 4度C'!$Y:$Y,'0714 4度C'!$A:$A,"新豐4線",'0714 4度C'!$B:$B,"平均")</f>
        <v>0</v>
      </c>
    </row>
    <row r="19" spans="2:13" ht="17.25" customHeight="1">
      <c r="B19" s="545"/>
      <c r="C19" s="76" t="s">
        <v>115</v>
      </c>
      <c r="D19" s="77">
        <f>SUMIFS('0714 4度C'!$Z:$Z,'0714 4度C'!$A:$A,"新豐6線",'0714 4度C'!$B:$B,"平均")</f>
        <v>0</v>
      </c>
      <c r="E19" s="78">
        <f>SUMIFS('0714 4度C'!$Z:$Z,'0714 4度C'!$A:$A,"新豐2線",'0714 4度C'!$B:$B,"平均")</f>
        <v>0</v>
      </c>
      <c r="F19" s="78">
        <f>SUMIFS('0714 4度C'!$Z:$Z,'0714 4度C'!$A:$A,"新豐5線",'0714 4度C'!$B:$B,"平均")</f>
        <v>0</v>
      </c>
      <c r="G19" s="78">
        <f>SUMIFS('0714 4度C'!$Z:$Z,'0714 4度C'!$A:$A,"新豐7線",'0714 4度C'!$B:$B,"平均")</f>
        <v>0</v>
      </c>
      <c r="H19" s="78">
        <f>SUMIFS('0714 4度C'!$Z:$Z,'0714 4度C'!$A:$A,"新豐3線",'0714 4度C'!$B:$B,"平均")</f>
        <v>0</v>
      </c>
      <c r="I19" s="78">
        <f>SUMIFS('0714 4度C'!$Z:$Z,'0714 4度C'!$A:$A,"新豐1線",'0714 4度C'!$B:$B,"平均")</f>
        <v>0</v>
      </c>
      <c r="J19" s="79">
        <f>SUMIFS('0714 4度C'!$Z:$Z,'0714 4度C'!$A:$A,"新豐10線",'0714 4度C'!$B:$B,"平均")</f>
        <v>0</v>
      </c>
      <c r="K19" s="80">
        <f>SUMIFS('0714 4度C'!$Z:$Z,'0714 4度C'!$A:$A,"新豐8線",'0714 4度C'!$B:$B,"平均")</f>
        <v>0</v>
      </c>
      <c r="L19" s="78">
        <f>SUMIFS('0714 4度C'!$Z:$Z,'0714 4度C'!$A:$A,"新豐9線",'0714 4度C'!$B:$B,"平均")</f>
        <v>0</v>
      </c>
      <c r="M19" s="79">
        <f>SUMIFS('0714 4度C'!$Z:$Z,'0714 4度C'!$A:$A,"新豐4線",'0714 4度C'!$B:$B,"平均")</f>
        <v>0</v>
      </c>
    </row>
    <row r="20" spans="2:13" ht="17.25" customHeight="1">
      <c r="B20" s="544" t="s">
        <v>1356</v>
      </c>
      <c r="C20" s="76" t="s">
        <v>1357</v>
      </c>
      <c r="D20" s="77">
        <f>SUMIFS('0714 4度C'!$AC:$AC,'0714 4度C'!$A:$A,"新豐6線",'0714 4度C'!$B:$B,"平均")</f>
        <v>2</v>
      </c>
      <c r="E20" s="78">
        <f>SUMIFS('0714 4度C'!$AC:$AC,'0714 4度C'!$A:$A,"新豐2線",'0714 4度C'!$B:$B,"平均")</f>
        <v>6</v>
      </c>
      <c r="F20" s="78">
        <f>SUMIFS('0714 4度C'!$AC:$AC,'0714 4度C'!$A:$A,"新豐5線",'0714 4度C'!$B:$B,"平均")</f>
        <v>7</v>
      </c>
      <c r="G20" s="78">
        <f>SUMIFS('0714 4度C'!$AC:$AC,'0714 4度C'!$A:$A,"新豐7線",'0714 4度C'!$B:$B,"平均")</f>
        <v>7</v>
      </c>
      <c r="H20" s="78">
        <f>SUMIFS('0714 4度C'!$AC:$AC,'0714 4度C'!$A:$A,"新豐3線",'0714 4度C'!$B:$B,"平均")</f>
        <v>4</v>
      </c>
      <c r="I20" s="78">
        <f>SUMIFS('0714 4度C'!$AC:$AC,'0714 4度C'!$A:$A,"新豐1線",'0714 4度C'!$B:$B,"平均")</f>
        <v>9</v>
      </c>
      <c r="J20" s="79">
        <f>SUMIFS('0714 4度C'!$AC:$AC,'0714 4度C'!$A:$A,"新豐10線",'0714 4度C'!$B:$B,"平均")</f>
        <v>4</v>
      </c>
      <c r="K20" s="80">
        <f>SUMIFS('0714 4度C'!$AC:$AC,'0714 4度C'!$A:$A,"新豐8線",'0714 4度C'!$B:$B,"平均")</f>
        <v>8</v>
      </c>
      <c r="L20" s="78">
        <f>SUMIFS('0714 4度C'!$AC:$AC,'0714 4度C'!$A:$A,"新豐9線",'0714 4度C'!$B:$B,"平均")</f>
        <v>8</v>
      </c>
      <c r="M20" s="79">
        <f>SUMIFS('0714 4度C'!$AC:$AC,'0714 4度C'!$A:$A,"新豐4線",'0714 4度C'!$B:$B,"平均")</f>
        <v>8</v>
      </c>
    </row>
    <row r="21" spans="2:13" ht="17.25" customHeight="1">
      <c r="B21" s="545"/>
      <c r="C21" s="76" t="s">
        <v>1358</v>
      </c>
      <c r="D21" s="77">
        <f>SUMIFS('0714 4度C'!$AD:$AD,'0714 4度C'!$A:$A,"新豐6線",'0714 4度C'!$B:$B,"平均")</f>
        <v>0</v>
      </c>
      <c r="E21" s="78">
        <f>SUMIFS('0714 4度C'!$AD:$AD,'0714 4度C'!$A:$A,"新豐2線",'0714 4度C'!$B:$B,"平均")</f>
        <v>0</v>
      </c>
      <c r="F21" s="78">
        <f>SUMIFS('0714 4度C'!$AD:$AD,'0714 4度C'!$A:$A,"新豐5線",'0714 4度C'!$B:$B,"平均")</f>
        <v>0</v>
      </c>
      <c r="G21" s="78">
        <f>SUMIFS('0714 4度C'!$AD:$AD,'0714 4度C'!$A:$A,"新豐7線",'0714 4度C'!$B:$B,"平均")</f>
        <v>0</v>
      </c>
      <c r="H21" s="78">
        <f>SUMIFS('0714 4度C'!$AD:$AD,'0714 4度C'!$A:$A,"新豐3線",'0714 4度C'!$B:$B,"平均")</f>
        <v>0</v>
      </c>
      <c r="I21" s="78">
        <f>SUMIFS('0714 4度C'!$AD:$AD,'0714 4度C'!$A:$A,"新豐1線",'0714 4度C'!$B:$B,"平均")</f>
        <v>0</v>
      </c>
      <c r="J21" s="79">
        <f>SUMIFS('0714 4度C'!$AD:$AD,'0714 4度C'!$A:$A,"新豐10線",'0714 4度C'!$B:$B,"平均")</f>
        <v>0</v>
      </c>
      <c r="K21" s="80">
        <f>SUMIFS('0714 4度C'!$AD:$AD,'0714 4度C'!$A:$A,"新豐8線",'0714 4度C'!$B:$B,"平均")</f>
        <v>0</v>
      </c>
      <c r="L21" s="78">
        <f>SUMIFS('0714 4度C'!$AD:$AD,'0714 4度C'!$A:$A,"新豐9線",'0714 4度C'!$B:$B,"平均")</f>
        <v>0</v>
      </c>
      <c r="M21" s="79">
        <f>SUMIFS('0714 4度C'!$AD:$AD,'0714 4度C'!$A:$A,"新豐4線",'0714 4度C'!$B:$B,"平均")</f>
        <v>0</v>
      </c>
    </row>
    <row r="22" spans="2:13" ht="17.25" customHeight="1">
      <c r="B22" s="546" t="s">
        <v>1359</v>
      </c>
      <c r="C22" s="547"/>
      <c r="D22" s="81">
        <f>SUMIFS('0714 4度C'!$I:$I,'0714 4度C'!$A:$A,"新豐6線",'0714 4度C'!$B:$B,"平均")</f>
        <v>15.5</v>
      </c>
      <c r="E22" s="82">
        <f>SUMIFS('0714 4度C'!$I:$I,'0714 4度C'!$A:$A,"新豐2線",'0714 4度C'!$B:$B,"平均")</f>
        <v>17</v>
      </c>
      <c r="F22" s="82">
        <f>SUMIFS('0714 4度C'!$I:$I,'0714 4度C'!$A:$A,"新豐5線",'0714 4度C'!$B:$B,"平均")</f>
        <v>18.285714285714285</v>
      </c>
      <c r="G22" s="82">
        <f>SUMIFS('0714 4度C'!$I:$I,'0714 4度C'!$A:$A,"新豐7線",'0714 4度C'!$B:$B,"平均")</f>
        <v>15.857142857142858</v>
      </c>
      <c r="H22" s="82">
        <f>SUMIFS('0714 4度C'!$I:$I,'0714 4度C'!$A:$A,"新豐3線",'0714 4度C'!$B:$B,"平均")</f>
        <v>9.75</v>
      </c>
      <c r="I22" s="82">
        <f>SUMIFS('0714 4度C'!$I:$I,'0714 4度C'!$A:$A,"新豐1線",'0714 4度C'!$B:$B,"平均")</f>
        <v>17</v>
      </c>
      <c r="J22" s="83">
        <f>SUMIFS('0714 4度C'!$I:$I,'0714 4度C'!$A:$A,"新豐10線",'0714 4度C'!$B:$B,"平均")</f>
        <v>9.75</v>
      </c>
      <c r="K22" s="81">
        <f>SUMIFS('0714 4度C'!$I:$I,'0714 4度C'!$A:$A,"新豐8線",'0714 4度C'!$B:$B,"平均")</f>
        <v>17.5</v>
      </c>
      <c r="L22" s="82">
        <f>SUMIFS('0714 4度C'!$I:$I,'0714 4度C'!$A:$A,"新豐9線",'0714 4度C'!$B:$B,"平均")</f>
        <v>17.5</v>
      </c>
      <c r="M22" s="83">
        <f>SUMIFS('0714 4度C'!$I:$I,'0714 4度C'!$A:$A,"新豐4線",'0714 4度C'!$B:$B,"平均")</f>
        <v>16.75</v>
      </c>
    </row>
    <row r="23" spans="2:13" ht="17.25" customHeight="1">
      <c r="B23" s="546" t="s">
        <v>1360</v>
      </c>
      <c r="C23" s="547"/>
      <c r="D23" s="84" t="s">
        <v>54</v>
      </c>
      <c r="E23" s="85" t="s">
        <v>55</v>
      </c>
      <c r="F23" s="85" t="s">
        <v>1361</v>
      </c>
      <c r="G23" s="85" t="s">
        <v>120</v>
      </c>
      <c r="H23" s="85" t="s">
        <v>56</v>
      </c>
      <c r="I23" s="85" t="s">
        <v>54</v>
      </c>
      <c r="J23" s="86" t="s">
        <v>56</v>
      </c>
      <c r="K23" s="84" t="s">
        <v>121</v>
      </c>
      <c r="L23" s="85" t="s">
        <v>1362</v>
      </c>
      <c r="M23" s="86" t="s">
        <v>1362</v>
      </c>
    </row>
    <row r="24" spans="2:13" ht="17.25" customHeight="1">
      <c r="B24" s="546" t="s">
        <v>122</v>
      </c>
      <c r="C24" s="547"/>
      <c r="D24" s="84"/>
      <c r="E24" s="85"/>
      <c r="F24" s="85" t="s">
        <v>1363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1364</v>
      </c>
      <c r="C25" s="549"/>
      <c r="D25" s="87"/>
      <c r="E25" s="88" t="s">
        <v>1365</v>
      </c>
      <c r="F25" s="542" t="s">
        <v>1366</v>
      </c>
      <c r="G25" s="543"/>
      <c r="H25" s="88" t="s">
        <v>1367</v>
      </c>
      <c r="I25" s="88" t="s">
        <v>1368</v>
      </c>
      <c r="J25" s="89" t="s">
        <v>1369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topLeftCell="G1" zoomScale="80" zoomScaleNormal="80" workbookViewId="0">
      <pane ySplit="4" topLeftCell="A5" activePane="bottomLeft" state="frozen"/>
      <selection activeCell="A9" sqref="A9"/>
      <selection pane="bottomLeft" activeCell="A8" sqref="A8:A1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1370</v>
      </c>
      <c r="B1" s="1"/>
      <c r="C1" s="2" t="s">
        <v>1371</v>
      </c>
      <c r="D1" s="3">
        <f>SUM(F5:F77)</f>
        <v>193610</v>
      </c>
      <c r="E1" s="278" t="s">
        <v>1372</v>
      </c>
      <c r="F1" s="1">
        <f>SUM(G5:G77)</f>
        <v>6653100.4100000011</v>
      </c>
      <c r="G1" s="1" t="s">
        <v>1373</v>
      </c>
      <c r="H1" s="4">
        <f>L7+L14+L53+L63+L22+L68+L39+L48+L30+L77</f>
        <v>154.89285714285714</v>
      </c>
      <c r="I1" s="654" t="s">
        <v>1374</v>
      </c>
      <c r="J1" s="654"/>
      <c r="K1" s="654"/>
      <c r="L1" s="654" t="s">
        <v>1375</v>
      </c>
      <c r="M1" s="654"/>
      <c r="N1" s="654"/>
      <c r="O1" s="654" t="s">
        <v>1376</v>
      </c>
      <c r="P1" s="654"/>
      <c r="Q1" s="654"/>
      <c r="R1" s="654"/>
      <c r="S1" s="654" t="s">
        <v>1377</v>
      </c>
      <c r="T1" s="654"/>
      <c r="U1" s="654"/>
      <c r="V1" s="654"/>
      <c r="W1" s="654"/>
      <c r="X1" s="654"/>
      <c r="Y1" s="5" t="s">
        <v>1378</v>
      </c>
      <c r="Z1" s="6" t="s">
        <v>1379</v>
      </c>
      <c r="AA1" s="655" t="s">
        <v>1380</v>
      </c>
      <c r="AB1" s="655"/>
      <c r="AC1" s="92" t="s">
        <v>1378</v>
      </c>
      <c r="AD1" s="6" t="s">
        <v>1381</v>
      </c>
      <c r="AE1" s="654" t="s">
        <v>1382</v>
      </c>
      <c r="AF1" s="656"/>
      <c r="AG1" s="656"/>
    </row>
    <row r="2" spans="1:33" ht="26.25" customHeight="1">
      <c r="A2" s="25">
        <v>46217</v>
      </c>
      <c r="B2" s="26" t="s">
        <v>689</v>
      </c>
      <c r="C2" s="2" t="s">
        <v>1383</v>
      </c>
      <c r="D2" s="8">
        <f>AVERAGE(N7,N14,N53,N63,N22,N68,N30,N39,N48,N77)</f>
        <v>151.08680282727059</v>
      </c>
      <c r="E2" s="9" t="s">
        <v>0</v>
      </c>
      <c r="F2" s="10">
        <f>F1/D1</f>
        <v>34.363413098496984</v>
      </c>
      <c r="G2" s="1" t="s">
        <v>1384</v>
      </c>
      <c r="H2" s="284">
        <f>COUNT(H5:H77)</f>
        <v>13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SUM(Y7+Y14+Y22+Y30+Y39+Y48+Y53+Y63+Y68+Y77)</f>
        <v>0</v>
      </c>
      <c r="Z2" s="11">
        <f>SUM(Z7+Z14+Z22+Z30+Z39+Z48+Z53+Z63+Z68+Z77)</f>
        <v>0</v>
      </c>
      <c r="AA2" s="655"/>
      <c r="AB2" s="655"/>
      <c r="AC2" s="11">
        <v>63</v>
      </c>
      <c r="AD2" s="11">
        <f>SUM(AD7+AD14+AD22+AD30+AD39+AD48+AD53+AD63+AD68+AD77)</f>
        <v>0</v>
      </c>
      <c r="AE2" s="656"/>
      <c r="AF2" s="656"/>
      <c r="AG2" s="656"/>
    </row>
    <row r="3" spans="1:33" ht="40.5" customHeight="1">
      <c r="A3" s="612" t="s">
        <v>1385</v>
      </c>
      <c r="B3" s="612" t="s">
        <v>1386</v>
      </c>
      <c r="C3" s="612" t="s">
        <v>1387</v>
      </c>
      <c r="D3" s="612"/>
      <c r="E3" s="652" t="s">
        <v>1388</v>
      </c>
      <c r="F3" s="612" t="s">
        <v>1389</v>
      </c>
      <c r="G3" s="652" t="s">
        <v>1390</v>
      </c>
      <c r="H3" s="645" t="s">
        <v>1391</v>
      </c>
      <c r="I3" s="644" t="s">
        <v>1392</v>
      </c>
      <c r="J3" s="641" t="s">
        <v>1393</v>
      </c>
      <c r="K3" s="650" t="s">
        <v>1383</v>
      </c>
      <c r="L3" s="644" t="s">
        <v>1394</v>
      </c>
      <c r="M3" s="641" t="s">
        <v>1395</v>
      </c>
      <c r="N3" s="650" t="s">
        <v>1383</v>
      </c>
      <c r="O3" s="644" t="s">
        <v>1394</v>
      </c>
      <c r="P3" s="650" t="s">
        <v>1383</v>
      </c>
      <c r="Q3" s="642" t="s">
        <v>1396</v>
      </c>
      <c r="R3" s="621" t="s">
        <v>1397</v>
      </c>
      <c r="S3" s="651" t="s">
        <v>1</v>
      </c>
      <c r="T3" s="651"/>
      <c r="U3" s="645" t="s">
        <v>2</v>
      </c>
      <c r="V3" s="645" t="s">
        <v>1398</v>
      </c>
      <c r="W3" s="612" t="s">
        <v>1399</v>
      </c>
      <c r="X3" s="612"/>
      <c r="Y3" s="646" t="s">
        <v>1400</v>
      </c>
      <c r="Z3" s="611"/>
      <c r="AA3" s="647" t="s">
        <v>1401</v>
      </c>
      <c r="AB3" s="648"/>
      <c r="AC3" s="646" t="s">
        <v>1402</v>
      </c>
      <c r="AD3" s="611"/>
      <c r="AE3" s="641" t="s">
        <v>1395</v>
      </c>
      <c r="AF3" s="642" t="s">
        <v>1396</v>
      </c>
      <c r="AG3" s="621" t="s">
        <v>1397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85" t="s">
        <v>3</v>
      </c>
      <c r="T4" s="285" t="s">
        <v>4</v>
      </c>
      <c r="U4" s="645"/>
      <c r="V4" s="645"/>
      <c r="W4" s="278" t="s">
        <v>1403</v>
      </c>
      <c r="X4" s="278" t="s">
        <v>1404</v>
      </c>
      <c r="Y4" s="276" t="s">
        <v>1405</v>
      </c>
      <c r="Z4" s="276" t="s">
        <v>1406</v>
      </c>
      <c r="AA4" s="649"/>
      <c r="AB4" s="648"/>
      <c r="AC4" s="276" t="s">
        <v>1407</v>
      </c>
      <c r="AD4" s="276" t="s">
        <v>1408</v>
      </c>
      <c r="AE4" s="641"/>
      <c r="AF4" s="642"/>
      <c r="AG4" s="621"/>
    </row>
    <row r="5" spans="1:33">
      <c r="A5" s="643" t="s">
        <v>1409</v>
      </c>
      <c r="B5" s="27" t="s">
        <v>5</v>
      </c>
      <c r="C5" s="657" t="s">
        <v>14</v>
      </c>
      <c r="D5" s="657"/>
      <c r="E5" s="27">
        <v>50.92</v>
      </c>
      <c r="F5" s="285">
        <v>2885</v>
      </c>
      <c r="G5" s="278">
        <f t="shared" ref="G5:G6" si="0">E5*F5</f>
        <v>146904.20000000001</v>
      </c>
      <c r="H5" s="31" t="s">
        <v>40</v>
      </c>
      <c r="I5" s="282">
        <v>15</v>
      </c>
      <c r="J5" s="29">
        <v>2000</v>
      </c>
      <c r="K5" s="12">
        <f t="shared" ref="K5:K68" si="1">J5/I5</f>
        <v>133.33333333333334</v>
      </c>
      <c r="L5" s="282">
        <v>15</v>
      </c>
      <c r="M5" s="13">
        <f t="shared" ref="M5:M6" si="2">F5/V5*60</f>
        <v>1902.1978021978023</v>
      </c>
      <c r="N5" s="12">
        <f t="shared" ref="N5:N68" si="3">M5/L5</f>
        <v>126.81318681318682</v>
      </c>
      <c r="O5" s="14">
        <f t="shared" ref="O5:O68" si="4">L5-I5</f>
        <v>0</v>
      </c>
      <c r="P5" s="15">
        <f t="shared" ref="P5:P68" si="5">N5-K5</f>
        <v>-6.5201465201465254</v>
      </c>
      <c r="Q5" s="277">
        <f t="shared" ref="Q5:Q68" si="6">N5/K5</f>
        <v>0.95109890109890105</v>
      </c>
      <c r="R5" s="616">
        <f>Q7</f>
        <v>0.95318102949681904</v>
      </c>
      <c r="S5" s="32">
        <v>0.70833333333333337</v>
      </c>
      <c r="T5" s="32">
        <v>0.77152777777777781</v>
      </c>
      <c r="U5" s="278"/>
      <c r="V5" s="283">
        <f t="shared" ref="V5:V6" si="7">(T5-S5)*24*60</f>
        <v>91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62" si="8">M5-J5</f>
        <v>-97.802197802197725</v>
      </c>
      <c r="AF5" s="277">
        <f t="shared" ref="AF5:AF68" si="9">M5/J5</f>
        <v>0.95109890109890116</v>
      </c>
      <c r="AG5" s="616">
        <f>AF7</f>
        <v>0.95318102949681904</v>
      </c>
    </row>
    <row r="6" spans="1:33">
      <c r="A6" s="644" t="s">
        <v>1409</v>
      </c>
      <c r="B6" s="27" t="s">
        <v>5</v>
      </c>
      <c r="C6" s="657" t="s">
        <v>19</v>
      </c>
      <c r="D6" s="657"/>
      <c r="E6" s="27">
        <v>50.98</v>
      </c>
      <c r="F6" s="285">
        <v>3025</v>
      </c>
      <c r="G6" s="278">
        <f t="shared" si="0"/>
        <v>154214.5</v>
      </c>
      <c r="H6" s="31" t="s">
        <v>40</v>
      </c>
      <c r="I6" s="282">
        <v>16</v>
      </c>
      <c r="J6" s="29">
        <v>2000</v>
      </c>
      <c r="K6" s="12">
        <f t="shared" si="1"/>
        <v>125</v>
      </c>
      <c r="L6" s="282">
        <v>16</v>
      </c>
      <c r="M6" s="13">
        <f t="shared" si="2"/>
        <v>1910.526315789474</v>
      </c>
      <c r="N6" s="12">
        <f t="shared" si="3"/>
        <v>119.40789473684212</v>
      </c>
      <c r="O6" s="14">
        <f t="shared" si="4"/>
        <v>0</v>
      </c>
      <c r="P6" s="15">
        <f t="shared" si="5"/>
        <v>-5.592105263157876</v>
      </c>
      <c r="Q6" s="277">
        <f t="shared" si="6"/>
        <v>0.95526315789473704</v>
      </c>
      <c r="R6" s="616"/>
      <c r="S6" s="32">
        <v>0.77500000000000002</v>
      </c>
      <c r="T6" s="32">
        <v>0.84097222222222223</v>
      </c>
      <c r="U6" s="278">
        <f t="shared" ref="U6" si="10">IF(S6=TIME(17,0,0),"",(S6-T5)*24*60)</f>
        <v>4.9999999999999822</v>
      </c>
      <c r="V6" s="283">
        <f t="shared" si="7"/>
        <v>94.999999999999986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-89.473684210526017</v>
      </c>
      <c r="AF6" s="277">
        <f t="shared" si="9"/>
        <v>0.95526315789473704</v>
      </c>
      <c r="AG6" s="616"/>
    </row>
    <row r="7" spans="1:33">
      <c r="A7" s="644" t="s">
        <v>1409</v>
      </c>
      <c r="B7" s="27" t="s">
        <v>1410</v>
      </c>
      <c r="C7" s="658"/>
      <c r="D7" s="658"/>
      <c r="E7" s="279"/>
      <c r="F7" s="28"/>
      <c r="G7" s="12"/>
      <c r="H7" s="285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1906.3620589936381</v>
      </c>
      <c r="N7" s="12">
        <f t="shared" si="3"/>
        <v>122.99110058023471</v>
      </c>
      <c r="O7" s="14">
        <f t="shared" si="4"/>
        <v>0</v>
      </c>
      <c r="P7" s="15">
        <f t="shared" si="5"/>
        <v>-6.0411574842814133</v>
      </c>
      <c r="Q7" s="277">
        <f t="shared" si="6"/>
        <v>0.95318102949681904</v>
      </c>
      <c r="R7" s="616"/>
      <c r="S7" s="32"/>
      <c r="T7" s="32"/>
      <c r="U7" s="278"/>
      <c r="V7" s="28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-93.637941006361871</v>
      </c>
      <c r="AF7" s="277">
        <f t="shared" si="9"/>
        <v>0.95318102949681904</v>
      </c>
      <c r="AG7" s="616"/>
    </row>
    <row r="8" spans="1:33" ht="15.75" customHeight="1">
      <c r="A8" s="640" t="s">
        <v>1411</v>
      </c>
      <c r="B8" s="27" t="s">
        <v>8</v>
      </c>
      <c r="C8" s="638" t="s">
        <v>10</v>
      </c>
      <c r="D8" s="639"/>
      <c r="E8" s="27">
        <v>39.799999999999997</v>
      </c>
      <c r="F8" s="285">
        <v>3900</v>
      </c>
      <c r="G8" s="278">
        <f t="shared" ref="G8:G13" si="11">E8*F8</f>
        <v>155220</v>
      </c>
      <c r="H8" s="31">
        <v>2</v>
      </c>
      <c r="I8" s="282">
        <v>17</v>
      </c>
      <c r="J8" s="29">
        <v>1500</v>
      </c>
      <c r="K8" s="12">
        <f t="shared" si="1"/>
        <v>88.235294117647058</v>
      </c>
      <c r="L8" s="282">
        <v>17</v>
      </c>
      <c r="M8" s="13">
        <f t="shared" ref="M8:M13" si="12">F8/V8*60</f>
        <v>1435.5828220858896</v>
      </c>
      <c r="N8" s="12">
        <f t="shared" si="3"/>
        <v>84.446048357993504</v>
      </c>
      <c r="O8" s="14">
        <f t="shared" si="4"/>
        <v>0</v>
      </c>
      <c r="P8" s="15">
        <f t="shared" si="5"/>
        <v>-3.7892457596535536</v>
      </c>
      <c r="Q8" s="277">
        <f t="shared" si="6"/>
        <v>0.95705521472392641</v>
      </c>
      <c r="R8" s="616">
        <f>Q14</f>
        <v>0.95565616339106063</v>
      </c>
      <c r="S8" s="32">
        <v>8.3333333333333329E-2</v>
      </c>
      <c r="T8" s="32">
        <v>0.19652777777777777</v>
      </c>
      <c r="U8" s="278"/>
      <c r="V8" s="283">
        <f t="shared" ref="V8:V13" si="13">(T8-S8)*24*60</f>
        <v>163</v>
      </c>
      <c r="W8" s="16">
        <f>T8</f>
        <v>0.19652777777777777</v>
      </c>
      <c r="X8" s="16">
        <f>S9</f>
        <v>0.21458333333333332</v>
      </c>
      <c r="Y8" s="16"/>
      <c r="Z8" s="16"/>
      <c r="AA8" s="612"/>
      <c r="AB8" s="612"/>
      <c r="AC8" s="18">
        <v>6</v>
      </c>
      <c r="AD8" s="18"/>
      <c r="AE8" s="14">
        <f t="shared" si="8"/>
        <v>-64.417177914110425</v>
      </c>
      <c r="AF8" s="277">
        <f t="shared" si="9"/>
        <v>0.95705521472392641</v>
      </c>
      <c r="AG8" s="616">
        <f>AF14</f>
        <v>0.95565616339106074</v>
      </c>
    </row>
    <row r="9" spans="1:33" ht="15.75" customHeight="1">
      <c r="A9" s="640" t="s">
        <v>1411</v>
      </c>
      <c r="B9" s="27" t="s">
        <v>8</v>
      </c>
      <c r="C9" s="638" t="s">
        <v>63</v>
      </c>
      <c r="D9" s="639"/>
      <c r="E9" s="27">
        <v>39.46</v>
      </c>
      <c r="F9" s="285">
        <v>2000</v>
      </c>
      <c r="G9" s="278">
        <f t="shared" si="11"/>
        <v>78920</v>
      </c>
      <c r="H9" s="31">
        <v>2</v>
      </c>
      <c r="I9" s="282">
        <v>15</v>
      </c>
      <c r="J9" s="29">
        <v>1500</v>
      </c>
      <c r="K9" s="12">
        <f t="shared" si="1"/>
        <v>100</v>
      </c>
      <c r="L9" s="282">
        <v>15</v>
      </c>
      <c r="M9" s="13">
        <f t="shared" si="12"/>
        <v>1428.5714285714289</v>
      </c>
      <c r="N9" s="12">
        <f t="shared" si="3"/>
        <v>95.238095238095255</v>
      </c>
      <c r="O9" s="14">
        <f t="shared" si="4"/>
        <v>0</v>
      </c>
      <c r="P9" s="15">
        <f t="shared" si="5"/>
        <v>-4.761904761904745</v>
      </c>
      <c r="Q9" s="277">
        <f t="shared" si="6"/>
        <v>0.95238095238095255</v>
      </c>
      <c r="R9" s="616"/>
      <c r="S9" s="32">
        <v>0.21458333333333332</v>
      </c>
      <c r="T9" s="32">
        <v>0.27291666666666664</v>
      </c>
      <c r="U9" s="278">
        <f t="shared" ref="U9:U13" si="14">IF(S9=TIME(17,0,0),"",(S9-T8)*24*60)</f>
        <v>25.999999999999986</v>
      </c>
      <c r="V9" s="283">
        <f t="shared" si="13"/>
        <v>83.999999999999986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-71.428571428571104</v>
      </c>
      <c r="AF9" s="277">
        <f t="shared" si="9"/>
        <v>0.95238095238095255</v>
      </c>
      <c r="AG9" s="616"/>
    </row>
    <row r="10" spans="1:33" ht="15.75" customHeight="1">
      <c r="A10" s="640" t="s">
        <v>1411</v>
      </c>
      <c r="B10" s="27" t="s">
        <v>8</v>
      </c>
      <c r="C10" s="638" t="s">
        <v>74</v>
      </c>
      <c r="D10" s="639"/>
      <c r="E10" s="27">
        <v>39.520000000000003</v>
      </c>
      <c r="F10" s="285">
        <v>2799</v>
      </c>
      <c r="G10" s="278">
        <f t="shared" si="11"/>
        <v>110616.48000000001</v>
      </c>
      <c r="H10" s="31" t="s">
        <v>40</v>
      </c>
      <c r="I10" s="282">
        <v>19</v>
      </c>
      <c r="J10" s="29">
        <v>1500</v>
      </c>
      <c r="K10" s="12">
        <f t="shared" si="1"/>
        <v>78.94736842105263</v>
      </c>
      <c r="L10" s="282">
        <v>19</v>
      </c>
      <c r="M10" s="13">
        <f t="shared" si="12"/>
        <v>1435.3846153846157</v>
      </c>
      <c r="N10" s="12">
        <f t="shared" si="3"/>
        <v>75.54655870445346</v>
      </c>
      <c r="O10" s="14">
        <f t="shared" si="4"/>
        <v>0</v>
      </c>
      <c r="P10" s="15">
        <f t="shared" si="5"/>
        <v>-3.40080971659917</v>
      </c>
      <c r="Q10" s="277">
        <f t="shared" si="6"/>
        <v>0.95692307692307721</v>
      </c>
      <c r="R10" s="616"/>
      <c r="S10" s="32">
        <v>0.27708333333333329</v>
      </c>
      <c r="T10" s="32">
        <v>0.35833333333333328</v>
      </c>
      <c r="U10" s="278">
        <f t="shared" si="14"/>
        <v>5.9999999999999787</v>
      </c>
      <c r="V10" s="283">
        <f t="shared" si="13"/>
        <v>116.99999999999999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-64.615384615384301</v>
      </c>
      <c r="AF10" s="277">
        <f t="shared" si="9"/>
        <v>0.9569230769230771</v>
      </c>
      <c r="AG10" s="616"/>
    </row>
    <row r="11" spans="1:33" ht="15.75" customHeight="1">
      <c r="A11" s="640" t="s">
        <v>1411</v>
      </c>
      <c r="B11" s="27" t="s">
        <v>8</v>
      </c>
      <c r="C11" s="638" t="s">
        <v>9</v>
      </c>
      <c r="D11" s="639"/>
      <c r="E11" s="27">
        <v>39.619999999999997</v>
      </c>
      <c r="F11" s="285">
        <v>4795</v>
      </c>
      <c r="G11" s="278">
        <f t="shared" si="11"/>
        <v>189977.9</v>
      </c>
      <c r="H11" s="31" t="s">
        <v>40</v>
      </c>
      <c r="I11" s="282">
        <v>19</v>
      </c>
      <c r="J11" s="29">
        <v>1500</v>
      </c>
      <c r="K11" s="12">
        <f t="shared" si="1"/>
        <v>78.94736842105263</v>
      </c>
      <c r="L11" s="282">
        <v>19</v>
      </c>
      <c r="M11" s="13">
        <f t="shared" si="12"/>
        <v>1431.343283582089</v>
      </c>
      <c r="N11" s="12">
        <f t="shared" si="3"/>
        <v>75.333857030636267</v>
      </c>
      <c r="O11" s="14">
        <f t="shared" si="4"/>
        <v>0</v>
      </c>
      <c r="P11" s="15">
        <f t="shared" si="5"/>
        <v>-3.6135113904163632</v>
      </c>
      <c r="Q11" s="277">
        <f t="shared" si="6"/>
        <v>0.95422885572139271</v>
      </c>
      <c r="R11" s="616"/>
      <c r="S11" s="32">
        <v>0.36319444444444438</v>
      </c>
      <c r="T11" s="32">
        <v>0.50277777777777777</v>
      </c>
      <c r="U11" s="278">
        <f t="shared" si="14"/>
        <v>6.9999999999999751</v>
      </c>
      <c r="V11" s="283">
        <f t="shared" si="13"/>
        <v>201.00000000000009</v>
      </c>
      <c r="W11" s="16">
        <f>T11</f>
        <v>0.50277777777777777</v>
      </c>
      <c r="X11" s="16">
        <f>S12</f>
        <v>0.54236111111111107</v>
      </c>
      <c r="Y11" s="16"/>
      <c r="Z11" s="16"/>
      <c r="AA11" s="607"/>
      <c r="AB11" s="608"/>
      <c r="AC11" s="18"/>
      <c r="AD11" s="18"/>
      <c r="AE11" s="14">
        <f t="shared" si="8"/>
        <v>-68.656716417910957</v>
      </c>
      <c r="AF11" s="277">
        <f t="shared" si="9"/>
        <v>0.95422885572139271</v>
      </c>
      <c r="AG11" s="616"/>
    </row>
    <row r="12" spans="1:33" ht="15.75" customHeight="1">
      <c r="A12" s="640" t="s">
        <v>1411</v>
      </c>
      <c r="B12" s="27" t="s">
        <v>8</v>
      </c>
      <c r="C12" s="638" t="s">
        <v>10</v>
      </c>
      <c r="D12" s="639"/>
      <c r="E12" s="27">
        <v>39.799999999999997</v>
      </c>
      <c r="F12" s="285">
        <v>3200</v>
      </c>
      <c r="G12" s="278">
        <f t="shared" si="11"/>
        <v>127359.99999999999</v>
      </c>
      <c r="H12" s="31" t="s">
        <v>40</v>
      </c>
      <c r="I12" s="282">
        <v>17</v>
      </c>
      <c r="J12" s="29">
        <v>1500</v>
      </c>
      <c r="K12" s="12">
        <f t="shared" si="1"/>
        <v>88.235294117647058</v>
      </c>
      <c r="L12" s="282">
        <v>17</v>
      </c>
      <c r="M12" s="13">
        <f t="shared" si="12"/>
        <v>1432.8358208955224</v>
      </c>
      <c r="N12" s="12">
        <f t="shared" si="3"/>
        <v>84.284460052677787</v>
      </c>
      <c r="O12" s="14">
        <f t="shared" si="4"/>
        <v>0</v>
      </c>
      <c r="P12" s="15">
        <f t="shared" si="5"/>
        <v>-3.9508340649692713</v>
      </c>
      <c r="Q12" s="277">
        <f t="shared" si="6"/>
        <v>0.95522388059701491</v>
      </c>
      <c r="R12" s="616"/>
      <c r="S12" s="32">
        <v>0.54236111111111107</v>
      </c>
      <c r="T12" s="32">
        <v>0.63541666666666663</v>
      </c>
      <c r="U12" s="278">
        <f t="shared" si="14"/>
        <v>56.999999999999957</v>
      </c>
      <c r="V12" s="283">
        <f t="shared" si="13"/>
        <v>134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-67.164179104477626</v>
      </c>
      <c r="AF12" s="277">
        <f t="shared" si="9"/>
        <v>0.95522388059701491</v>
      </c>
      <c r="AG12" s="616"/>
    </row>
    <row r="13" spans="1:33" ht="15.75" customHeight="1">
      <c r="A13" s="640" t="s">
        <v>1411</v>
      </c>
      <c r="B13" s="27" t="s">
        <v>8</v>
      </c>
      <c r="C13" s="638" t="s">
        <v>63</v>
      </c>
      <c r="D13" s="639"/>
      <c r="E13" s="27">
        <v>39.46</v>
      </c>
      <c r="F13" s="285">
        <v>1533</v>
      </c>
      <c r="G13" s="278">
        <f t="shared" si="11"/>
        <v>60492.18</v>
      </c>
      <c r="H13" s="31" t="s">
        <v>40</v>
      </c>
      <c r="I13" s="282">
        <v>15</v>
      </c>
      <c r="J13" s="29">
        <v>1500</v>
      </c>
      <c r="K13" s="12">
        <f t="shared" si="1"/>
        <v>100</v>
      </c>
      <c r="L13" s="282">
        <v>15</v>
      </c>
      <c r="M13" s="13">
        <f t="shared" si="12"/>
        <v>1437.1875000000016</v>
      </c>
      <c r="N13" s="12">
        <f t="shared" si="3"/>
        <v>95.812500000000099</v>
      </c>
      <c r="O13" s="14">
        <f t="shared" si="4"/>
        <v>0</v>
      </c>
      <c r="P13" s="15">
        <f t="shared" si="5"/>
        <v>-4.1874999999999005</v>
      </c>
      <c r="Q13" s="277">
        <f t="shared" si="6"/>
        <v>0.958125000000001</v>
      </c>
      <c r="R13" s="616"/>
      <c r="S13" s="32">
        <v>0.64027777777777772</v>
      </c>
      <c r="T13" s="32">
        <v>0.68472222222222212</v>
      </c>
      <c r="U13" s="278">
        <f t="shared" si="14"/>
        <v>6.9999999999999751</v>
      </c>
      <c r="V13" s="283">
        <f t="shared" si="13"/>
        <v>63.999999999999929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-62.812499999998408</v>
      </c>
      <c r="AF13" s="277">
        <f t="shared" si="9"/>
        <v>0.95812500000000111</v>
      </c>
      <c r="AG13" s="616"/>
    </row>
    <row r="14" spans="1:33" ht="16.5" customHeight="1">
      <c r="A14" s="640" t="s">
        <v>1411</v>
      </c>
      <c r="B14" s="27" t="s">
        <v>1410</v>
      </c>
      <c r="C14" s="658"/>
      <c r="D14" s="658"/>
      <c r="E14" s="279"/>
      <c r="F14" s="29"/>
      <c r="G14" s="13"/>
      <c r="H14" s="285"/>
      <c r="I14" s="21">
        <v>17</v>
      </c>
      <c r="J14" s="29">
        <v>1500</v>
      </c>
      <c r="K14" s="12">
        <f t="shared" si="1"/>
        <v>88.235294117647058</v>
      </c>
      <c r="L14" s="21">
        <v>17</v>
      </c>
      <c r="M14" s="13">
        <f>AVERAGE(M8:M13)</f>
        <v>1433.484245086591</v>
      </c>
      <c r="N14" s="12">
        <f t="shared" si="3"/>
        <v>84.322602652152412</v>
      </c>
      <c r="O14" s="14">
        <f t="shared" si="4"/>
        <v>0</v>
      </c>
      <c r="P14" s="15">
        <f t="shared" si="5"/>
        <v>-3.9126914654946461</v>
      </c>
      <c r="Q14" s="277">
        <f t="shared" si="6"/>
        <v>0.95565616339106063</v>
      </c>
      <c r="R14" s="616"/>
      <c r="S14" s="32"/>
      <c r="T14" s="32"/>
      <c r="U14" s="12"/>
      <c r="V14" s="283"/>
      <c r="W14" s="12"/>
      <c r="X14" s="12"/>
      <c r="Y14" s="22">
        <f>SUM(Y8:Y13)</f>
        <v>0</v>
      </c>
      <c r="Z14" s="22">
        <f>SUM(Z8:Z13)</f>
        <v>0</v>
      </c>
      <c r="AA14" s="611"/>
      <c r="AB14" s="611"/>
      <c r="AC14" s="22">
        <v>6</v>
      </c>
      <c r="AD14" s="22">
        <f>SUM(AD8:AD13)</f>
        <v>0</v>
      </c>
      <c r="AE14" s="14">
        <f t="shared" si="8"/>
        <v>-66.515754913408955</v>
      </c>
      <c r="AF14" s="277">
        <f t="shared" si="9"/>
        <v>0.95565616339106074</v>
      </c>
      <c r="AG14" s="616"/>
    </row>
    <row r="15" spans="1:33" ht="16.5" customHeight="1">
      <c r="A15" s="636" t="s">
        <v>1412</v>
      </c>
      <c r="B15" s="285" t="s">
        <v>1134</v>
      </c>
      <c r="C15" s="659" t="s">
        <v>1035</v>
      </c>
      <c r="D15" s="659"/>
      <c r="E15" s="27">
        <v>31.11</v>
      </c>
      <c r="F15" s="285">
        <v>3289</v>
      </c>
      <c r="G15" s="278">
        <f t="shared" ref="G15:G21" si="15">E15*F15</f>
        <v>102320.79</v>
      </c>
      <c r="H15" s="31" t="s">
        <v>40</v>
      </c>
      <c r="I15" s="282">
        <v>14</v>
      </c>
      <c r="J15" s="29">
        <v>2000</v>
      </c>
      <c r="K15" s="12">
        <f t="shared" si="1"/>
        <v>142.85714285714286</v>
      </c>
      <c r="L15" s="282">
        <v>14</v>
      </c>
      <c r="M15" s="13">
        <f t="shared" ref="M15:M21" si="16">F15/V15*60</f>
        <v>1915.9223300970873</v>
      </c>
      <c r="N15" s="12">
        <f t="shared" si="3"/>
        <v>136.85159500693482</v>
      </c>
      <c r="O15" s="14">
        <f t="shared" si="4"/>
        <v>0</v>
      </c>
      <c r="P15" s="15">
        <f t="shared" si="5"/>
        <v>-6.0055478502080462</v>
      </c>
      <c r="Q15" s="277">
        <f t="shared" si="6"/>
        <v>0.95796116504854367</v>
      </c>
      <c r="R15" s="616">
        <f>Q22</f>
        <v>0.95700365523253883</v>
      </c>
      <c r="S15" s="32">
        <v>8.3333333333333329E-2</v>
      </c>
      <c r="T15" s="32">
        <v>0.15486111111111112</v>
      </c>
      <c r="U15" s="278"/>
      <c r="V15" s="283">
        <f t="shared" ref="V15:V21" si="17">(T15-S15)*24*60</f>
        <v>103</v>
      </c>
      <c r="W15" s="16">
        <f>T15</f>
        <v>0.15486111111111112</v>
      </c>
      <c r="X15" s="16">
        <f>S16</f>
        <v>0.17569444444444446</v>
      </c>
      <c r="Y15" s="20"/>
      <c r="Z15" s="20"/>
      <c r="AA15" s="612"/>
      <c r="AB15" s="612"/>
      <c r="AC15" s="18">
        <v>7</v>
      </c>
      <c r="AD15" s="18"/>
      <c r="AE15" s="14">
        <f t="shared" si="8"/>
        <v>-84.077669902912703</v>
      </c>
      <c r="AF15" s="277">
        <f t="shared" si="9"/>
        <v>0.95796116504854367</v>
      </c>
      <c r="AG15" s="616">
        <f>AF22</f>
        <v>0.95700365523253883</v>
      </c>
    </row>
    <row r="16" spans="1:33" ht="16.5" customHeight="1">
      <c r="A16" s="637" t="s">
        <v>1412</v>
      </c>
      <c r="B16" s="285" t="s">
        <v>1134</v>
      </c>
      <c r="C16" s="659" t="s">
        <v>1036</v>
      </c>
      <c r="D16" s="659"/>
      <c r="E16" s="27">
        <v>38.99</v>
      </c>
      <c r="F16" s="285">
        <v>1405</v>
      </c>
      <c r="G16" s="278">
        <f t="shared" si="15"/>
        <v>54780.950000000004</v>
      </c>
      <c r="H16" s="31" t="s">
        <v>40</v>
      </c>
      <c r="I16" s="282">
        <v>14</v>
      </c>
      <c r="J16" s="29">
        <v>2000</v>
      </c>
      <c r="K16" s="12">
        <f t="shared" si="1"/>
        <v>142.85714285714286</v>
      </c>
      <c r="L16" s="282">
        <v>14</v>
      </c>
      <c r="M16" s="13">
        <f t="shared" si="16"/>
        <v>1915.909090909091</v>
      </c>
      <c r="N16" s="12">
        <f t="shared" si="3"/>
        <v>136.85064935064935</v>
      </c>
      <c r="O16" s="14">
        <f t="shared" si="4"/>
        <v>0</v>
      </c>
      <c r="P16" s="15">
        <f t="shared" si="5"/>
        <v>-6.0064935064935128</v>
      </c>
      <c r="Q16" s="277">
        <f t="shared" si="6"/>
        <v>0.95795454545454539</v>
      </c>
      <c r="R16" s="616"/>
      <c r="S16" s="32">
        <v>0.17569444444444446</v>
      </c>
      <c r="T16" s="32">
        <v>0.20625000000000002</v>
      </c>
      <c r="U16" s="278">
        <f t="shared" ref="U16:U21" si="18">IF(S16=TIME(17,0,0),"",(S16-T15)*24*60)</f>
        <v>30.000000000000014</v>
      </c>
      <c r="V16" s="283">
        <f t="shared" si="17"/>
        <v>44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-84.090909090909008</v>
      </c>
      <c r="AF16" s="277">
        <f t="shared" si="9"/>
        <v>0.9579545454545455</v>
      </c>
      <c r="AG16" s="616"/>
    </row>
    <row r="17" spans="1:33" ht="16.5" customHeight="1">
      <c r="A17" s="637" t="s">
        <v>1412</v>
      </c>
      <c r="B17" s="285" t="s">
        <v>11</v>
      </c>
      <c r="C17" s="659" t="s">
        <v>67</v>
      </c>
      <c r="D17" s="659"/>
      <c r="E17" s="27">
        <v>38.619999999999997</v>
      </c>
      <c r="F17" s="285">
        <v>2592</v>
      </c>
      <c r="G17" s="278">
        <f t="shared" si="15"/>
        <v>100103.03999999999</v>
      </c>
      <c r="H17" s="31" t="s">
        <v>40</v>
      </c>
      <c r="I17" s="282">
        <v>24</v>
      </c>
      <c r="J17" s="29">
        <v>1500</v>
      </c>
      <c r="K17" s="12">
        <f t="shared" si="1"/>
        <v>62.5</v>
      </c>
      <c r="L17" s="282">
        <v>24</v>
      </c>
      <c r="M17" s="13">
        <f t="shared" si="16"/>
        <v>1426.7889908256877</v>
      </c>
      <c r="N17" s="12">
        <f t="shared" si="3"/>
        <v>59.449541284403658</v>
      </c>
      <c r="O17" s="14">
        <f t="shared" si="4"/>
        <v>0</v>
      </c>
      <c r="P17" s="15">
        <f t="shared" si="5"/>
        <v>-3.0504587155963421</v>
      </c>
      <c r="Q17" s="277">
        <f t="shared" si="6"/>
        <v>0.95119266055045848</v>
      </c>
      <c r="R17" s="616"/>
      <c r="S17" s="32">
        <v>0.2104166666666667</v>
      </c>
      <c r="T17" s="32">
        <v>0.28611111111111115</v>
      </c>
      <c r="U17" s="278">
        <f t="shared" si="18"/>
        <v>6.0000000000000187</v>
      </c>
      <c r="V17" s="283">
        <f t="shared" si="17"/>
        <v>109.00000000000001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-73.211009174312267</v>
      </c>
      <c r="AF17" s="277">
        <f t="shared" si="9"/>
        <v>0.95119266055045848</v>
      </c>
      <c r="AG17" s="616"/>
    </row>
    <row r="18" spans="1:33" ht="16.5" customHeight="1">
      <c r="A18" s="637" t="s">
        <v>1412</v>
      </c>
      <c r="B18" s="285" t="s">
        <v>11</v>
      </c>
      <c r="C18" s="659" t="s">
        <v>12</v>
      </c>
      <c r="D18" s="659"/>
      <c r="E18" s="27">
        <v>41</v>
      </c>
      <c r="F18" s="285">
        <v>2184</v>
      </c>
      <c r="G18" s="278">
        <f t="shared" si="15"/>
        <v>89544</v>
      </c>
      <c r="H18" s="31" t="s">
        <v>40</v>
      </c>
      <c r="I18" s="282">
        <v>26</v>
      </c>
      <c r="J18" s="29">
        <v>1500</v>
      </c>
      <c r="K18" s="12">
        <f t="shared" si="1"/>
        <v>57.692307692307693</v>
      </c>
      <c r="L18" s="282">
        <v>26</v>
      </c>
      <c r="M18" s="13">
        <f t="shared" si="16"/>
        <v>1440</v>
      </c>
      <c r="N18" s="12">
        <f t="shared" si="3"/>
        <v>55.384615384615387</v>
      </c>
      <c r="O18" s="14">
        <f t="shared" si="4"/>
        <v>0</v>
      </c>
      <c r="P18" s="15">
        <f t="shared" si="5"/>
        <v>-2.3076923076923066</v>
      </c>
      <c r="Q18" s="277">
        <f t="shared" si="6"/>
        <v>0.96</v>
      </c>
      <c r="R18" s="616"/>
      <c r="S18" s="32">
        <v>0.2902777777777778</v>
      </c>
      <c r="T18" s="32">
        <v>0.35347222222222224</v>
      </c>
      <c r="U18" s="278">
        <f t="shared" si="18"/>
        <v>5.9999999999999787</v>
      </c>
      <c r="V18" s="283">
        <f t="shared" si="17"/>
        <v>91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-60</v>
      </c>
      <c r="AF18" s="277">
        <f t="shared" si="9"/>
        <v>0.96</v>
      </c>
      <c r="AG18" s="616"/>
    </row>
    <row r="19" spans="1:33" ht="16.5" customHeight="1">
      <c r="A19" s="637" t="s">
        <v>1412</v>
      </c>
      <c r="B19" s="285" t="s">
        <v>5</v>
      </c>
      <c r="C19" s="659" t="s">
        <v>66</v>
      </c>
      <c r="D19" s="659"/>
      <c r="E19" s="27">
        <v>37.03</v>
      </c>
      <c r="F19" s="285">
        <v>3816</v>
      </c>
      <c r="G19" s="278">
        <f t="shared" si="15"/>
        <v>141306.48000000001</v>
      </c>
      <c r="H19" s="31" t="s">
        <v>40</v>
      </c>
      <c r="I19" s="282">
        <v>13</v>
      </c>
      <c r="J19" s="29">
        <v>1500</v>
      </c>
      <c r="K19" s="12">
        <f t="shared" si="1"/>
        <v>115.38461538461539</v>
      </c>
      <c r="L19" s="282">
        <v>13</v>
      </c>
      <c r="M19" s="13">
        <f t="shared" si="16"/>
        <v>1431</v>
      </c>
      <c r="N19" s="12">
        <f t="shared" si="3"/>
        <v>110.07692307692308</v>
      </c>
      <c r="O19" s="14">
        <f t="shared" si="4"/>
        <v>0</v>
      </c>
      <c r="P19" s="15">
        <f t="shared" si="5"/>
        <v>-5.3076923076923066</v>
      </c>
      <c r="Q19" s="277">
        <f t="shared" si="6"/>
        <v>0.95399999999999996</v>
      </c>
      <c r="R19" s="616"/>
      <c r="S19" s="32">
        <v>0.35902777777777778</v>
      </c>
      <c r="T19" s="32">
        <v>0.47013888888888888</v>
      </c>
      <c r="U19" s="278">
        <f t="shared" si="18"/>
        <v>7.9999999999999716</v>
      </c>
      <c r="V19" s="283">
        <f t="shared" si="17"/>
        <v>160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-69</v>
      </c>
      <c r="AF19" s="277">
        <f t="shared" si="9"/>
        <v>0.95399999999999996</v>
      </c>
      <c r="AG19" s="616"/>
    </row>
    <row r="20" spans="1:33" ht="16.5" customHeight="1">
      <c r="A20" s="637" t="s">
        <v>1412</v>
      </c>
      <c r="B20" s="285" t="s">
        <v>5</v>
      </c>
      <c r="C20" s="280" t="s">
        <v>6</v>
      </c>
      <c r="D20" s="281"/>
      <c r="E20" s="27">
        <v>50.67</v>
      </c>
      <c r="F20" s="285">
        <v>1883</v>
      </c>
      <c r="G20" s="278">
        <f t="shared" si="15"/>
        <v>95411.61</v>
      </c>
      <c r="H20" s="31" t="s">
        <v>40</v>
      </c>
      <c r="I20" s="282">
        <v>17</v>
      </c>
      <c r="J20" s="29">
        <v>2000</v>
      </c>
      <c r="K20" s="12">
        <f t="shared" si="1"/>
        <v>117.64705882352941</v>
      </c>
      <c r="L20" s="282">
        <v>17</v>
      </c>
      <c r="M20" s="13">
        <f t="shared" si="16"/>
        <v>1914.9152542372899</v>
      </c>
      <c r="N20" s="12">
        <f t="shared" si="3"/>
        <v>112.64207377866411</v>
      </c>
      <c r="O20" s="14">
        <f t="shared" si="4"/>
        <v>0</v>
      </c>
      <c r="P20" s="15">
        <f t="shared" si="5"/>
        <v>-5.0049850448652933</v>
      </c>
      <c r="Q20" s="277">
        <f t="shared" si="6"/>
        <v>0.95745762711864502</v>
      </c>
      <c r="R20" s="616"/>
      <c r="S20" s="32">
        <v>0.70833333333333337</v>
      </c>
      <c r="T20" s="32">
        <v>0.74930555555555556</v>
      </c>
      <c r="U20" s="278" t="str">
        <f t="shared" si="18"/>
        <v/>
      </c>
      <c r="V20" s="283">
        <f t="shared" si="17"/>
        <v>58.99999999999995</v>
      </c>
      <c r="W20" s="16"/>
      <c r="X20" s="16"/>
      <c r="Y20" s="19"/>
      <c r="Z20" s="19"/>
      <c r="AA20" s="273"/>
      <c r="AB20" s="274"/>
      <c r="AC20" s="18"/>
      <c r="AD20" s="18"/>
      <c r="AE20" s="14">
        <f t="shared" si="8"/>
        <v>-85.084745762710099</v>
      </c>
      <c r="AF20" s="277">
        <f t="shared" si="9"/>
        <v>0.95745762711864491</v>
      </c>
      <c r="AG20" s="616"/>
    </row>
    <row r="21" spans="1:33" ht="16.5" customHeight="1">
      <c r="A21" s="637" t="s">
        <v>1412</v>
      </c>
      <c r="B21" s="285" t="s">
        <v>5</v>
      </c>
      <c r="C21" s="280" t="s">
        <v>615</v>
      </c>
      <c r="D21" s="281"/>
      <c r="E21" s="27">
        <v>54.5</v>
      </c>
      <c r="F21" s="285">
        <v>2927</v>
      </c>
      <c r="G21" s="278">
        <f t="shared" si="15"/>
        <v>159521.5</v>
      </c>
      <c r="H21" s="31" t="s">
        <v>40</v>
      </c>
      <c r="I21" s="282">
        <v>20</v>
      </c>
      <c r="J21" s="29">
        <v>1500</v>
      </c>
      <c r="K21" s="12">
        <f t="shared" si="1"/>
        <v>75</v>
      </c>
      <c r="L21" s="282">
        <v>20</v>
      </c>
      <c r="M21" s="13">
        <f t="shared" si="16"/>
        <v>1439.5081967213109</v>
      </c>
      <c r="N21" s="12">
        <f t="shared" si="3"/>
        <v>71.975409836065552</v>
      </c>
      <c r="O21" s="14">
        <f t="shared" si="4"/>
        <v>0</v>
      </c>
      <c r="P21" s="15">
        <f t="shared" si="5"/>
        <v>-3.0245901639344481</v>
      </c>
      <c r="Q21" s="277">
        <f t="shared" si="6"/>
        <v>0.95967213114754069</v>
      </c>
      <c r="R21" s="616"/>
      <c r="S21" s="32">
        <v>0.75486111111111109</v>
      </c>
      <c r="T21" s="32">
        <v>0.83958333333333335</v>
      </c>
      <c r="U21" s="278">
        <f t="shared" si="18"/>
        <v>7.9999999999999716</v>
      </c>
      <c r="V21" s="283">
        <f t="shared" si="17"/>
        <v>122.00000000000004</v>
      </c>
      <c r="W21" s="16"/>
      <c r="X21" s="16"/>
      <c r="Y21" s="19"/>
      <c r="Z21" s="19"/>
      <c r="AA21" s="273"/>
      <c r="AB21" s="274"/>
      <c r="AC21" s="18"/>
      <c r="AD21" s="18"/>
      <c r="AE21" s="14">
        <f t="shared" si="8"/>
        <v>-60.491803278689076</v>
      </c>
      <c r="AF21" s="277">
        <f t="shared" si="9"/>
        <v>0.95967213114754057</v>
      </c>
      <c r="AG21" s="616"/>
    </row>
    <row r="22" spans="1:33" ht="16.5" customHeight="1">
      <c r="A22" s="637" t="s">
        <v>1412</v>
      </c>
      <c r="B22" s="27" t="s">
        <v>1410</v>
      </c>
      <c r="C22" s="658"/>
      <c r="D22" s="658"/>
      <c r="E22" s="279"/>
      <c r="F22" s="28"/>
      <c r="G22" s="12"/>
      <c r="H22" s="285"/>
      <c r="I22" s="21">
        <v>18.285714285714285</v>
      </c>
      <c r="J22" s="29">
        <v>1714.2857142857142</v>
      </c>
      <c r="K22" s="12">
        <f t="shared" si="1"/>
        <v>93.75</v>
      </c>
      <c r="L22" s="21">
        <v>18.285714285714285</v>
      </c>
      <c r="M22" s="13">
        <f>AVERAGE(M15:M21)</f>
        <v>1640.5776946843523</v>
      </c>
      <c r="N22" s="12">
        <f t="shared" si="3"/>
        <v>89.719092678050515</v>
      </c>
      <c r="O22" s="14">
        <f t="shared" si="4"/>
        <v>0</v>
      </c>
      <c r="P22" s="15">
        <f t="shared" si="5"/>
        <v>-4.0309073219494849</v>
      </c>
      <c r="Q22" s="277">
        <f t="shared" si="6"/>
        <v>0.95700365523253883</v>
      </c>
      <c r="R22" s="616"/>
      <c r="S22" s="32"/>
      <c r="T22" s="32"/>
      <c r="U22" s="278"/>
      <c r="V22" s="283"/>
      <c r="W22" s="12"/>
      <c r="X22" s="12"/>
      <c r="Y22" s="22">
        <f>SUM(Y15:Y21)</f>
        <v>0</v>
      </c>
      <c r="Z22" s="22">
        <f>SUM(Z15:Z21)</f>
        <v>0</v>
      </c>
      <c r="AA22" s="611"/>
      <c r="AB22" s="611"/>
      <c r="AC22" s="22">
        <v>7</v>
      </c>
      <c r="AD22" s="22">
        <f>SUM(AD15:AD21)</f>
        <v>0</v>
      </c>
      <c r="AE22" s="14">
        <f t="shared" si="8"/>
        <v>-73.708019601361912</v>
      </c>
      <c r="AF22" s="277">
        <f t="shared" si="9"/>
        <v>0.95700365523253883</v>
      </c>
      <c r="AG22" s="616"/>
    </row>
    <row r="23" spans="1:33" ht="15.75" customHeight="1">
      <c r="A23" s="634" t="s">
        <v>1413</v>
      </c>
      <c r="B23" s="27" t="s">
        <v>5</v>
      </c>
      <c r="C23" s="659" t="s">
        <v>16</v>
      </c>
      <c r="D23" s="659"/>
      <c r="E23" s="27">
        <v>50.67</v>
      </c>
      <c r="F23" s="285">
        <v>2106</v>
      </c>
      <c r="G23" s="278">
        <f t="shared" ref="G23:G29" si="19">E23*F23</f>
        <v>106711.02</v>
      </c>
      <c r="H23" s="31" t="s">
        <v>40</v>
      </c>
      <c r="I23" s="282">
        <v>17</v>
      </c>
      <c r="J23" s="29">
        <v>2000</v>
      </c>
      <c r="K23" s="12">
        <f t="shared" si="1"/>
        <v>117.64705882352941</v>
      </c>
      <c r="L23" s="282">
        <v>17</v>
      </c>
      <c r="M23" s="13">
        <f t="shared" ref="M23:M29" si="20">F23/V23*60</f>
        <v>1914.5454545454554</v>
      </c>
      <c r="N23" s="12">
        <f t="shared" si="3"/>
        <v>112.62032085561502</v>
      </c>
      <c r="O23" s="14">
        <f t="shared" si="4"/>
        <v>0</v>
      </c>
      <c r="P23" s="15">
        <f t="shared" si="5"/>
        <v>-5.0267379679143858</v>
      </c>
      <c r="Q23" s="277">
        <f t="shared" si="6"/>
        <v>0.95727272727272772</v>
      </c>
      <c r="R23" s="616">
        <f>Q30</f>
        <v>0.96093304553044356</v>
      </c>
      <c r="S23" s="32">
        <v>0.20833333333333334</v>
      </c>
      <c r="T23" s="32">
        <v>0.25416666666666665</v>
      </c>
      <c r="U23" s="278"/>
      <c r="V23" s="283">
        <f t="shared" ref="V23:V29" si="21">(T23-S23)*24*60</f>
        <v>65.999999999999972</v>
      </c>
      <c r="W23" s="16"/>
      <c r="X23" s="16"/>
      <c r="Y23" s="20"/>
      <c r="Z23" s="20"/>
      <c r="AA23" s="612"/>
      <c r="AB23" s="612"/>
      <c r="AC23" s="18">
        <v>7</v>
      </c>
      <c r="AD23" s="18"/>
      <c r="AE23" s="14">
        <f t="shared" si="8"/>
        <v>-85.454545454544586</v>
      </c>
      <c r="AF23" s="277">
        <f t="shared" si="9"/>
        <v>0.95727272727272772</v>
      </c>
      <c r="AG23" s="616">
        <f>AF30</f>
        <v>0.96093304553044356</v>
      </c>
    </row>
    <row r="24" spans="1:33" ht="15.75" customHeight="1">
      <c r="A24" s="635" t="s">
        <v>1413</v>
      </c>
      <c r="B24" s="27" t="s">
        <v>5</v>
      </c>
      <c r="C24" s="659" t="s">
        <v>17</v>
      </c>
      <c r="D24" s="659"/>
      <c r="E24" s="27">
        <v>57.73</v>
      </c>
      <c r="F24" s="285">
        <v>2764</v>
      </c>
      <c r="G24" s="278">
        <f t="shared" si="19"/>
        <v>159565.72</v>
      </c>
      <c r="H24" s="31" t="s">
        <v>40</v>
      </c>
      <c r="I24" s="282">
        <v>14</v>
      </c>
      <c r="J24" s="29">
        <v>2000</v>
      </c>
      <c r="K24" s="12">
        <f t="shared" si="1"/>
        <v>142.85714285714286</v>
      </c>
      <c r="L24" s="282">
        <v>14</v>
      </c>
      <c r="M24" s="13">
        <f t="shared" si="20"/>
        <v>1906.206896551724</v>
      </c>
      <c r="N24" s="12">
        <f t="shared" si="3"/>
        <v>136.15763546798027</v>
      </c>
      <c r="O24" s="14">
        <f t="shared" si="4"/>
        <v>0</v>
      </c>
      <c r="P24" s="15">
        <f t="shared" si="5"/>
        <v>-6.6995073891625907</v>
      </c>
      <c r="Q24" s="277">
        <f t="shared" si="6"/>
        <v>0.95310344827586191</v>
      </c>
      <c r="R24" s="616"/>
      <c r="S24" s="32">
        <v>0.2583333333333333</v>
      </c>
      <c r="T24" s="32">
        <v>0.31874999999999998</v>
      </c>
      <c r="U24" s="278">
        <f t="shared" ref="U24:U29" si="22">IF(S24=TIME(17,0,0),"",(S24-T23)*24*60)</f>
        <v>5.9999999999999787</v>
      </c>
      <c r="V24" s="283">
        <f t="shared" si="21"/>
        <v>87.000000000000014</v>
      </c>
      <c r="W24" s="16"/>
      <c r="X24" s="278"/>
      <c r="Y24" s="278"/>
      <c r="Z24" s="278"/>
      <c r="AA24" s="612"/>
      <c r="AB24" s="612"/>
      <c r="AC24" s="18"/>
      <c r="AD24" s="18"/>
      <c r="AE24" s="14">
        <f t="shared" si="8"/>
        <v>-93.793103448276042</v>
      </c>
      <c r="AF24" s="277">
        <f t="shared" si="9"/>
        <v>0.95310344827586202</v>
      </c>
      <c r="AG24" s="616"/>
    </row>
    <row r="25" spans="1:33" ht="15.75" customHeight="1">
      <c r="A25" s="635" t="s">
        <v>1413</v>
      </c>
      <c r="B25" s="27" t="s">
        <v>5</v>
      </c>
      <c r="C25" s="659" t="s">
        <v>60</v>
      </c>
      <c r="D25" s="659"/>
      <c r="E25" s="27">
        <v>53.27</v>
      </c>
      <c r="F25" s="285">
        <v>1830</v>
      </c>
      <c r="G25" s="278">
        <f t="shared" si="19"/>
        <v>97484.1</v>
      </c>
      <c r="H25" s="31" t="s">
        <v>40</v>
      </c>
      <c r="I25" s="282">
        <v>16</v>
      </c>
      <c r="J25" s="29">
        <v>2000</v>
      </c>
      <c r="K25" s="12">
        <f t="shared" si="1"/>
        <v>125</v>
      </c>
      <c r="L25" s="282">
        <v>16</v>
      </c>
      <c r="M25" s="13">
        <f t="shared" si="20"/>
        <v>1926.3157894736858</v>
      </c>
      <c r="N25" s="12">
        <f t="shared" si="3"/>
        <v>120.39473684210536</v>
      </c>
      <c r="O25" s="14">
        <f t="shared" si="4"/>
        <v>0</v>
      </c>
      <c r="P25" s="15">
        <f t="shared" si="5"/>
        <v>-4.6052631578946404</v>
      </c>
      <c r="Q25" s="277">
        <f t="shared" si="6"/>
        <v>0.96315789473684288</v>
      </c>
      <c r="R25" s="616"/>
      <c r="S25" s="32">
        <v>0.32291666666666663</v>
      </c>
      <c r="T25" s="32">
        <v>0.36249999999999993</v>
      </c>
      <c r="U25" s="278">
        <f t="shared" si="22"/>
        <v>5.9999999999999787</v>
      </c>
      <c r="V25" s="283">
        <f t="shared" si="21"/>
        <v>56.999999999999957</v>
      </c>
      <c r="W25" s="16"/>
      <c r="X25" s="278"/>
      <c r="Y25" s="278"/>
      <c r="Z25" s="278"/>
      <c r="AA25" s="612"/>
      <c r="AB25" s="612"/>
      <c r="AC25" s="18"/>
      <c r="AD25" s="18"/>
      <c r="AE25" s="14">
        <f t="shared" si="8"/>
        <v>-73.684210526314246</v>
      </c>
      <c r="AF25" s="277">
        <f t="shared" si="9"/>
        <v>0.96315789473684288</v>
      </c>
      <c r="AG25" s="616"/>
    </row>
    <row r="26" spans="1:33" ht="15.75" customHeight="1">
      <c r="A26" s="635" t="s">
        <v>1413</v>
      </c>
      <c r="B26" s="27" t="s">
        <v>5</v>
      </c>
      <c r="C26" s="659" t="s">
        <v>18</v>
      </c>
      <c r="D26" s="659"/>
      <c r="E26" s="27">
        <v>50.49</v>
      </c>
      <c r="F26" s="285">
        <v>2291</v>
      </c>
      <c r="G26" s="278">
        <f t="shared" si="19"/>
        <v>115672.59000000001</v>
      </c>
      <c r="H26" s="31" t="s">
        <v>40</v>
      </c>
      <c r="I26" s="282">
        <v>15</v>
      </c>
      <c r="J26" s="29">
        <v>2000</v>
      </c>
      <c r="K26" s="12">
        <f t="shared" si="1"/>
        <v>133.33333333333334</v>
      </c>
      <c r="L26" s="282">
        <v>15</v>
      </c>
      <c r="M26" s="13">
        <f t="shared" si="20"/>
        <v>1909.1666666666652</v>
      </c>
      <c r="N26" s="12">
        <f t="shared" si="3"/>
        <v>127.27777777777767</v>
      </c>
      <c r="O26" s="14">
        <f t="shared" si="4"/>
        <v>0</v>
      </c>
      <c r="P26" s="15">
        <f t="shared" si="5"/>
        <v>-6.0555555555556708</v>
      </c>
      <c r="Q26" s="277">
        <f t="shared" si="6"/>
        <v>0.95458333333333245</v>
      </c>
      <c r="R26" s="616"/>
      <c r="S26" s="32">
        <v>0.70833333333333337</v>
      </c>
      <c r="T26" s="32">
        <v>0.75833333333333341</v>
      </c>
      <c r="U26" s="278" t="str">
        <f t="shared" si="22"/>
        <v/>
      </c>
      <c r="V26" s="283">
        <f t="shared" si="21"/>
        <v>72.000000000000057</v>
      </c>
      <c r="W26" s="16"/>
      <c r="X26" s="278"/>
      <c r="Y26" s="278"/>
      <c r="Z26" s="278"/>
      <c r="AA26" s="612"/>
      <c r="AB26" s="612"/>
      <c r="AC26" s="18"/>
      <c r="AD26" s="18"/>
      <c r="AE26" s="14">
        <f t="shared" si="8"/>
        <v>-90.833333333334849</v>
      </c>
      <c r="AF26" s="277">
        <f t="shared" si="9"/>
        <v>0.95458333333333256</v>
      </c>
      <c r="AG26" s="616"/>
    </row>
    <row r="27" spans="1:33" ht="15.75" customHeight="1">
      <c r="A27" s="635" t="s">
        <v>1413</v>
      </c>
      <c r="B27" s="27" t="s">
        <v>5</v>
      </c>
      <c r="C27" s="659" t="s">
        <v>65</v>
      </c>
      <c r="D27" s="659"/>
      <c r="E27" s="27">
        <v>56.43</v>
      </c>
      <c r="F27" s="285">
        <v>1707</v>
      </c>
      <c r="G27" s="278">
        <f t="shared" si="19"/>
        <v>96326.01</v>
      </c>
      <c r="H27" s="31" t="s">
        <v>40</v>
      </c>
      <c r="I27" s="282">
        <v>13</v>
      </c>
      <c r="J27" s="29">
        <v>2000</v>
      </c>
      <c r="K27" s="12">
        <f t="shared" si="1"/>
        <v>153.84615384615384</v>
      </c>
      <c r="L27" s="282">
        <v>13</v>
      </c>
      <c r="M27" s="13">
        <f t="shared" si="20"/>
        <v>1932.4528301886801</v>
      </c>
      <c r="N27" s="12">
        <f t="shared" si="3"/>
        <v>148.65021770682154</v>
      </c>
      <c r="O27" s="14">
        <f t="shared" si="4"/>
        <v>0</v>
      </c>
      <c r="P27" s="15">
        <f t="shared" si="5"/>
        <v>-5.1959361393323036</v>
      </c>
      <c r="Q27" s="277">
        <f t="shared" si="6"/>
        <v>0.96622641509434004</v>
      </c>
      <c r="R27" s="616"/>
      <c r="S27" s="32">
        <v>0.76319444444444451</v>
      </c>
      <c r="T27" s="32">
        <v>0.8</v>
      </c>
      <c r="U27" s="278">
        <f t="shared" si="22"/>
        <v>6.9999999999999751</v>
      </c>
      <c r="V27" s="283">
        <f t="shared" si="21"/>
        <v>52.999999999999972</v>
      </c>
      <c r="W27" s="16"/>
      <c r="X27" s="16"/>
      <c r="Y27" s="278"/>
      <c r="Z27" s="278"/>
      <c r="AA27" s="612"/>
      <c r="AB27" s="612"/>
      <c r="AC27" s="18"/>
      <c r="AD27" s="18"/>
      <c r="AE27" s="14">
        <f t="shared" si="8"/>
        <v>-67.547169811319918</v>
      </c>
      <c r="AF27" s="277">
        <f t="shared" si="9"/>
        <v>0.96622641509434004</v>
      </c>
      <c r="AG27" s="616"/>
    </row>
    <row r="28" spans="1:33" ht="15.75" customHeight="1">
      <c r="A28" s="635" t="s">
        <v>1413</v>
      </c>
      <c r="B28" s="27" t="s">
        <v>5</v>
      </c>
      <c r="C28" s="659" t="s">
        <v>1322</v>
      </c>
      <c r="D28" s="659"/>
      <c r="E28" s="27">
        <v>54.09</v>
      </c>
      <c r="F28" s="285">
        <v>1300</v>
      </c>
      <c r="G28" s="278">
        <f t="shared" si="19"/>
        <v>70317</v>
      </c>
      <c r="H28" s="31">
        <v>2</v>
      </c>
      <c r="I28" s="282">
        <v>18</v>
      </c>
      <c r="J28" s="29">
        <v>2000</v>
      </c>
      <c r="K28" s="12">
        <f t="shared" si="1"/>
        <v>111.11111111111111</v>
      </c>
      <c r="L28" s="282">
        <v>18</v>
      </c>
      <c r="M28" s="13">
        <f t="shared" si="20"/>
        <v>1949.9999999999991</v>
      </c>
      <c r="N28" s="12">
        <f t="shared" si="3"/>
        <v>108.33333333333329</v>
      </c>
      <c r="O28" s="14">
        <f t="shared" si="4"/>
        <v>0</v>
      </c>
      <c r="P28" s="15">
        <f t="shared" si="5"/>
        <v>-2.7777777777778283</v>
      </c>
      <c r="Q28" s="277">
        <f t="shared" si="6"/>
        <v>0.97499999999999953</v>
      </c>
      <c r="R28" s="616"/>
      <c r="S28" s="32">
        <v>0.8041666666666667</v>
      </c>
      <c r="T28" s="32">
        <v>0.83194444444444449</v>
      </c>
      <c r="U28" s="278">
        <f t="shared" si="22"/>
        <v>5.9999999999999787</v>
      </c>
      <c r="V28" s="283">
        <f t="shared" si="21"/>
        <v>40.000000000000014</v>
      </c>
      <c r="W28" s="16">
        <f>T28</f>
        <v>0.83194444444444449</v>
      </c>
      <c r="X28" s="16">
        <f>S29</f>
        <v>0.87361111111111112</v>
      </c>
      <c r="Y28" s="20"/>
      <c r="Z28" s="20"/>
      <c r="AA28" s="612"/>
      <c r="AB28" s="612"/>
      <c r="AC28" s="18"/>
      <c r="AD28" s="18"/>
      <c r="AE28" s="14">
        <f t="shared" si="8"/>
        <v>-50.000000000000909</v>
      </c>
      <c r="AF28" s="277">
        <f t="shared" si="9"/>
        <v>0.97499999999999953</v>
      </c>
      <c r="AG28" s="616"/>
    </row>
    <row r="29" spans="1:33" ht="15.75" customHeight="1">
      <c r="A29" s="635" t="s">
        <v>1413</v>
      </c>
      <c r="B29" s="27" t="s">
        <v>5</v>
      </c>
      <c r="C29" s="631" t="s">
        <v>1322</v>
      </c>
      <c r="D29" s="632"/>
      <c r="E29" s="27">
        <v>54.09</v>
      </c>
      <c r="F29" s="285">
        <v>3063</v>
      </c>
      <c r="G29" s="278">
        <f t="shared" si="19"/>
        <v>165677.67000000001</v>
      </c>
      <c r="H29" s="31" t="s">
        <v>40</v>
      </c>
      <c r="I29" s="282">
        <v>18</v>
      </c>
      <c r="J29" s="29">
        <v>2000</v>
      </c>
      <c r="K29" s="12">
        <f t="shared" si="1"/>
        <v>111.11111111111111</v>
      </c>
      <c r="L29" s="282">
        <v>18</v>
      </c>
      <c r="M29" s="13">
        <f t="shared" si="20"/>
        <v>1914.3750000000007</v>
      </c>
      <c r="N29" s="12">
        <f t="shared" si="3"/>
        <v>106.3541666666667</v>
      </c>
      <c r="O29" s="14">
        <f t="shared" si="4"/>
        <v>0</v>
      </c>
      <c r="P29" s="15">
        <f t="shared" si="5"/>
        <v>-4.7569444444444144</v>
      </c>
      <c r="Q29" s="277">
        <f t="shared" si="6"/>
        <v>0.9571875000000003</v>
      </c>
      <c r="R29" s="616"/>
      <c r="S29" s="32">
        <v>0.87361111111111112</v>
      </c>
      <c r="T29" s="32">
        <v>0.94027777777777777</v>
      </c>
      <c r="U29" s="278">
        <f t="shared" si="22"/>
        <v>59.999999999999943</v>
      </c>
      <c r="V29" s="283">
        <f t="shared" si="21"/>
        <v>95.999999999999972</v>
      </c>
      <c r="W29" s="16"/>
      <c r="X29" s="20"/>
      <c r="Y29" s="270"/>
      <c r="Z29" s="270"/>
      <c r="AA29" s="607"/>
      <c r="AB29" s="608"/>
      <c r="AC29" s="18"/>
      <c r="AD29" s="18"/>
      <c r="AE29" s="14">
        <f t="shared" si="8"/>
        <v>-85.624999999999318</v>
      </c>
      <c r="AF29" s="277">
        <f t="shared" si="9"/>
        <v>0.9571875000000003</v>
      </c>
      <c r="AG29" s="616"/>
    </row>
    <row r="30" spans="1:33" ht="15.75" customHeight="1">
      <c r="A30" s="635" t="s">
        <v>1413</v>
      </c>
      <c r="B30" s="27" t="s">
        <v>1410</v>
      </c>
      <c r="C30" s="658"/>
      <c r="D30" s="658"/>
      <c r="E30" s="279"/>
      <c r="F30" s="285"/>
      <c r="G30" s="278"/>
      <c r="H30" s="285"/>
      <c r="I30" s="21">
        <v>15.857142857142858</v>
      </c>
      <c r="J30" s="29">
        <v>2000</v>
      </c>
      <c r="K30" s="12">
        <f t="shared" si="1"/>
        <v>126.12612612612612</v>
      </c>
      <c r="L30" s="21">
        <v>15.857142857142858</v>
      </c>
      <c r="M30" s="13">
        <f>AVERAGE(M23:M29)</f>
        <v>1921.8660910608871</v>
      </c>
      <c r="N30" s="12">
        <f t="shared" si="3"/>
        <v>121.19876249933522</v>
      </c>
      <c r="O30" s="14">
        <f t="shared" si="4"/>
        <v>0</v>
      </c>
      <c r="P30" s="15">
        <f t="shared" si="5"/>
        <v>-4.9273636267909069</v>
      </c>
      <c r="Q30" s="277">
        <f t="shared" si="6"/>
        <v>0.96093304553044356</v>
      </c>
      <c r="R30" s="616"/>
      <c r="S30" s="32"/>
      <c r="T30" s="32"/>
      <c r="U30" s="12"/>
      <c r="V30" s="283"/>
      <c r="W30" s="12"/>
      <c r="X30" s="12"/>
      <c r="Y30" s="22">
        <f>SUM(Y23:Y29)</f>
        <v>0</v>
      </c>
      <c r="Z30" s="22">
        <f>SUM(Z23:Z29)</f>
        <v>0</v>
      </c>
      <c r="AA30" s="611"/>
      <c r="AB30" s="611"/>
      <c r="AC30" s="22">
        <v>7</v>
      </c>
      <c r="AD30" s="22">
        <f>SUM(AD23:AD29)</f>
        <v>0</v>
      </c>
      <c r="AE30" s="14">
        <f t="shared" si="8"/>
        <v>-78.133908939112871</v>
      </c>
      <c r="AF30" s="277">
        <f t="shared" si="9"/>
        <v>0.96093304553044356</v>
      </c>
      <c r="AG30" s="616"/>
    </row>
    <row r="31" spans="1:33" ht="15.75" customHeight="1">
      <c r="A31" s="633" t="s">
        <v>1414</v>
      </c>
      <c r="B31" s="27" t="s">
        <v>20</v>
      </c>
      <c r="C31" s="659" t="s">
        <v>21</v>
      </c>
      <c r="D31" s="659"/>
      <c r="E31" s="27">
        <v>31.29</v>
      </c>
      <c r="F31" s="285">
        <v>5800</v>
      </c>
      <c r="G31" s="278">
        <f t="shared" ref="G31:G38" si="23">E31*F31</f>
        <v>181482</v>
      </c>
      <c r="H31" s="31">
        <v>2</v>
      </c>
      <c r="I31" s="282">
        <v>18</v>
      </c>
      <c r="J31" s="29">
        <v>2400</v>
      </c>
      <c r="K31" s="12">
        <f t="shared" si="1"/>
        <v>133.33333333333334</v>
      </c>
      <c r="L31" s="282">
        <v>18</v>
      </c>
      <c r="M31" s="13">
        <f t="shared" ref="M31:M38" si="24">F31/V31*60</f>
        <v>2289.4736842105262</v>
      </c>
      <c r="N31" s="12">
        <f t="shared" si="3"/>
        <v>127.19298245614034</v>
      </c>
      <c r="O31" s="14">
        <f t="shared" si="4"/>
        <v>0</v>
      </c>
      <c r="P31" s="15">
        <f t="shared" si="5"/>
        <v>-6.1403508771930007</v>
      </c>
      <c r="Q31" s="277">
        <f t="shared" si="6"/>
        <v>0.95394736842105254</v>
      </c>
      <c r="R31" s="616">
        <f>Q39</f>
        <v>0.95747415780746914</v>
      </c>
      <c r="S31" s="32">
        <v>8.3333333333333329E-2</v>
      </c>
      <c r="T31" s="32">
        <v>0.18888888888888888</v>
      </c>
      <c r="U31" s="278"/>
      <c r="V31" s="283">
        <f t="shared" ref="V31:V38" si="25">(T31-S31)*24*60</f>
        <v>152</v>
      </c>
      <c r="W31" s="16">
        <f>T31</f>
        <v>0.18888888888888888</v>
      </c>
      <c r="X31" s="16">
        <f>S32</f>
        <v>0.20972222222222223</v>
      </c>
      <c r="Y31" s="16"/>
      <c r="Z31" s="16"/>
      <c r="AA31" s="612"/>
      <c r="AB31" s="612"/>
      <c r="AC31" s="18">
        <v>8</v>
      </c>
      <c r="AD31" s="18"/>
      <c r="AE31" s="14">
        <f t="shared" si="8"/>
        <v>-110.52631578947376</v>
      </c>
      <c r="AF31" s="277">
        <f t="shared" si="9"/>
        <v>0.95394736842105265</v>
      </c>
      <c r="AG31" s="616">
        <f>AF39</f>
        <v>0.95747415780746903</v>
      </c>
    </row>
    <row r="32" spans="1:33" ht="15.75" customHeight="1">
      <c r="A32" s="633" t="s">
        <v>1414</v>
      </c>
      <c r="B32" s="27" t="s">
        <v>20</v>
      </c>
      <c r="C32" s="659" t="s">
        <v>22</v>
      </c>
      <c r="D32" s="659"/>
      <c r="E32" s="27">
        <v>26.37</v>
      </c>
      <c r="F32" s="285">
        <v>4000</v>
      </c>
      <c r="G32" s="278">
        <f t="shared" si="23"/>
        <v>105480</v>
      </c>
      <c r="H32" s="31">
        <v>2</v>
      </c>
      <c r="I32" s="282">
        <v>18</v>
      </c>
      <c r="J32" s="29">
        <v>2400</v>
      </c>
      <c r="K32" s="12">
        <f t="shared" si="1"/>
        <v>133.33333333333334</v>
      </c>
      <c r="L32" s="282">
        <v>18</v>
      </c>
      <c r="M32" s="13">
        <f t="shared" si="24"/>
        <v>2285.7142857142862</v>
      </c>
      <c r="N32" s="12">
        <f t="shared" si="3"/>
        <v>126.98412698412702</v>
      </c>
      <c r="O32" s="14">
        <f t="shared" si="4"/>
        <v>0</v>
      </c>
      <c r="P32" s="15">
        <f t="shared" si="5"/>
        <v>-6.3492063492063266</v>
      </c>
      <c r="Q32" s="277">
        <f t="shared" si="6"/>
        <v>0.95238095238095255</v>
      </c>
      <c r="R32" s="616"/>
      <c r="S32" s="32">
        <v>0.20972222222222223</v>
      </c>
      <c r="T32" s="32">
        <v>0.28263888888888888</v>
      </c>
      <c r="U32" s="278">
        <f t="shared" ref="U32:U38" si="26">(S32-T31)*24*60</f>
        <v>30.000000000000014</v>
      </c>
      <c r="V32" s="283">
        <f t="shared" si="25"/>
        <v>104.99999999999999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-114.28571428571377</v>
      </c>
      <c r="AF32" s="277">
        <f t="shared" si="9"/>
        <v>0.95238095238095255</v>
      </c>
      <c r="AG32" s="616"/>
    </row>
    <row r="33" spans="1:33" ht="15.75" customHeight="1">
      <c r="A33" s="633" t="s">
        <v>1414</v>
      </c>
      <c r="B33" s="27" t="s">
        <v>20</v>
      </c>
      <c r="C33" s="659" t="s">
        <v>57</v>
      </c>
      <c r="D33" s="659"/>
      <c r="E33" s="27">
        <v>26.18</v>
      </c>
      <c r="F33" s="285">
        <v>4900</v>
      </c>
      <c r="G33" s="278">
        <f t="shared" si="23"/>
        <v>128282</v>
      </c>
      <c r="H33" s="31">
        <v>2</v>
      </c>
      <c r="I33" s="282">
        <v>18</v>
      </c>
      <c r="J33" s="29">
        <v>2400</v>
      </c>
      <c r="K33" s="12">
        <f t="shared" si="1"/>
        <v>133.33333333333334</v>
      </c>
      <c r="L33" s="282">
        <v>18</v>
      </c>
      <c r="M33" s="13">
        <f t="shared" si="24"/>
        <v>2296.8749999999995</v>
      </c>
      <c r="N33" s="12">
        <f t="shared" si="3"/>
        <v>127.60416666666664</v>
      </c>
      <c r="O33" s="14">
        <f t="shared" si="4"/>
        <v>0</v>
      </c>
      <c r="P33" s="15">
        <f t="shared" si="5"/>
        <v>-5.7291666666666998</v>
      </c>
      <c r="Q33" s="277">
        <f t="shared" si="6"/>
        <v>0.95703124999999978</v>
      </c>
      <c r="R33" s="616"/>
      <c r="S33" s="32">
        <v>0.28819444444444442</v>
      </c>
      <c r="T33" s="32">
        <v>0.37708333333333333</v>
      </c>
      <c r="U33" s="278">
        <f t="shared" si="26"/>
        <v>7.9999999999999716</v>
      </c>
      <c r="V33" s="283">
        <f t="shared" si="25"/>
        <v>128.00000000000003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-103.12500000000045</v>
      </c>
      <c r="AF33" s="277">
        <f t="shared" si="9"/>
        <v>0.95703124999999978</v>
      </c>
      <c r="AG33" s="616"/>
    </row>
    <row r="34" spans="1:33" ht="15.75" customHeight="1">
      <c r="A34" s="633" t="s">
        <v>1414</v>
      </c>
      <c r="B34" s="27" t="s">
        <v>20</v>
      </c>
      <c r="C34" s="659" t="s">
        <v>59</v>
      </c>
      <c r="D34" s="659"/>
      <c r="E34" s="27">
        <v>25.99</v>
      </c>
      <c r="F34" s="285">
        <v>1507</v>
      </c>
      <c r="G34" s="278">
        <f t="shared" si="23"/>
        <v>39166.93</v>
      </c>
      <c r="H34" s="31" t="s">
        <v>40</v>
      </c>
      <c r="I34" s="282">
        <v>18</v>
      </c>
      <c r="J34" s="29">
        <v>2400</v>
      </c>
      <c r="K34" s="12">
        <f t="shared" si="1"/>
        <v>133.33333333333334</v>
      </c>
      <c r="L34" s="282">
        <v>18</v>
      </c>
      <c r="M34" s="13">
        <f t="shared" si="24"/>
        <v>2318.4615384615372</v>
      </c>
      <c r="N34" s="12">
        <f t="shared" si="3"/>
        <v>128.80341880341874</v>
      </c>
      <c r="O34" s="14">
        <f t="shared" si="4"/>
        <v>0</v>
      </c>
      <c r="P34" s="15">
        <f t="shared" si="5"/>
        <v>-4.5299145299146062</v>
      </c>
      <c r="Q34" s="277">
        <f t="shared" si="6"/>
        <v>0.96602564102564048</v>
      </c>
      <c r="R34" s="616"/>
      <c r="S34" s="32">
        <v>0.38194444444444442</v>
      </c>
      <c r="T34" s="32">
        <v>0.40902777777777777</v>
      </c>
      <c r="U34" s="278">
        <f t="shared" si="26"/>
        <v>6.9999999999999751</v>
      </c>
      <c r="V34" s="283">
        <f t="shared" si="25"/>
        <v>39.000000000000021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-81.538461538462798</v>
      </c>
      <c r="AF34" s="277">
        <f t="shared" si="9"/>
        <v>0.96602564102564048</v>
      </c>
      <c r="AG34" s="616"/>
    </row>
    <row r="35" spans="1:33" ht="15.75" customHeight="1">
      <c r="A35" s="633" t="s">
        <v>1414</v>
      </c>
      <c r="B35" s="27" t="s">
        <v>20</v>
      </c>
      <c r="C35" s="659" t="s">
        <v>23</v>
      </c>
      <c r="D35" s="659"/>
      <c r="E35" s="27">
        <v>25.99</v>
      </c>
      <c r="F35" s="285">
        <v>4127</v>
      </c>
      <c r="G35" s="278">
        <f t="shared" si="23"/>
        <v>107260.73</v>
      </c>
      <c r="H35" s="31" t="s">
        <v>40</v>
      </c>
      <c r="I35" s="282">
        <v>14</v>
      </c>
      <c r="J35" s="29">
        <v>2400</v>
      </c>
      <c r="K35" s="12">
        <f t="shared" si="1"/>
        <v>171.42857142857142</v>
      </c>
      <c r="L35" s="282">
        <v>14</v>
      </c>
      <c r="M35" s="13">
        <f t="shared" si="24"/>
        <v>2292.7777777777774</v>
      </c>
      <c r="N35" s="12">
        <f t="shared" si="3"/>
        <v>163.76984126984124</v>
      </c>
      <c r="O35" s="14">
        <f t="shared" si="4"/>
        <v>0</v>
      </c>
      <c r="P35" s="15">
        <f t="shared" si="5"/>
        <v>-7.6587301587301795</v>
      </c>
      <c r="Q35" s="277">
        <f t="shared" si="6"/>
        <v>0.95532407407407394</v>
      </c>
      <c r="R35" s="616"/>
      <c r="S35" s="32">
        <v>0.41249999999999998</v>
      </c>
      <c r="T35" s="32">
        <v>0.48749999999999999</v>
      </c>
      <c r="U35" s="278">
        <f t="shared" si="26"/>
        <v>4.9999999999999822</v>
      </c>
      <c r="V35" s="283">
        <f t="shared" si="25"/>
        <v>108.00000000000001</v>
      </c>
      <c r="W35" s="16">
        <f>T35</f>
        <v>0.48749999999999999</v>
      </c>
      <c r="X35" s="16">
        <f>S36</f>
        <v>0.52847222222222212</v>
      </c>
      <c r="Y35" s="16"/>
      <c r="Z35" s="16"/>
      <c r="AA35" s="612"/>
      <c r="AB35" s="612"/>
      <c r="AC35" s="18"/>
      <c r="AD35" s="18"/>
      <c r="AE35" s="14">
        <f t="shared" si="8"/>
        <v>-107.22222222222263</v>
      </c>
      <c r="AF35" s="277">
        <f t="shared" si="9"/>
        <v>0.95532407407407394</v>
      </c>
      <c r="AG35" s="616"/>
    </row>
    <row r="36" spans="1:33" ht="15.75" customHeight="1">
      <c r="A36" s="633" t="s">
        <v>1414</v>
      </c>
      <c r="B36" s="27" t="s">
        <v>20</v>
      </c>
      <c r="C36" s="659" t="s">
        <v>21</v>
      </c>
      <c r="D36" s="659"/>
      <c r="E36" s="27">
        <v>31.29</v>
      </c>
      <c r="F36" s="285">
        <v>4040</v>
      </c>
      <c r="G36" s="278">
        <f t="shared" si="23"/>
        <v>126411.59999999999</v>
      </c>
      <c r="H36" s="31" t="s">
        <v>40</v>
      </c>
      <c r="I36" s="282">
        <v>18</v>
      </c>
      <c r="J36" s="29">
        <v>2400</v>
      </c>
      <c r="K36" s="12">
        <f t="shared" si="1"/>
        <v>133.33333333333334</v>
      </c>
      <c r="L36" s="282">
        <v>18</v>
      </c>
      <c r="M36" s="13">
        <f t="shared" si="24"/>
        <v>2286.7924528301896</v>
      </c>
      <c r="N36" s="12">
        <f t="shared" si="3"/>
        <v>127.04402515723275</v>
      </c>
      <c r="O36" s="14">
        <f t="shared" si="4"/>
        <v>0</v>
      </c>
      <c r="P36" s="15">
        <f t="shared" si="5"/>
        <v>-6.2893081761005902</v>
      </c>
      <c r="Q36" s="277">
        <f t="shared" si="6"/>
        <v>0.95283018867924563</v>
      </c>
      <c r="R36" s="616"/>
      <c r="S36" s="32">
        <v>0.52847222222222212</v>
      </c>
      <c r="T36" s="32">
        <v>0.60208333333333319</v>
      </c>
      <c r="U36" s="278">
        <f t="shared" si="26"/>
        <v>58.999999999999872</v>
      </c>
      <c r="V36" s="283">
        <f t="shared" si="25"/>
        <v>105.99999999999994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-113.20754716981037</v>
      </c>
      <c r="AF36" s="277">
        <f t="shared" si="9"/>
        <v>0.95283018867924563</v>
      </c>
      <c r="AG36" s="616"/>
    </row>
    <row r="37" spans="1:33" ht="15.75" customHeight="1">
      <c r="A37" s="633" t="s">
        <v>1414</v>
      </c>
      <c r="B37" s="27" t="s">
        <v>20</v>
      </c>
      <c r="C37" s="659" t="s">
        <v>57</v>
      </c>
      <c r="D37" s="659"/>
      <c r="E37" s="27">
        <v>26.18</v>
      </c>
      <c r="F37" s="285">
        <v>3377</v>
      </c>
      <c r="G37" s="278">
        <f t="shared" si="23"/>
        <v>88409.86</v>
      </c>
      <c r="H37" s="31" t="s">
        <v>40</v>
      </c>
      <c r="I37" s="282">
        <v>18</v>
      </c>
      <c r="J37" s="29">
        <v>2400</v>
      </c>
      <c r="K37" s="12">
        <f t="shared" si="1"/>
        <v>133.33333333333334</v>
      </c>
      <c r="L37" s="282">
        <v>18</v>
      </c>
      <c r="M37" s="13">
        <f t="shared" si="24"/>
        <v>2302.5</v>
      </c>
      <c r="N37" s="12">
        <f t="shared" si="3"/>
        <v>127.91666666666667</v>
      </c>
      <c r="O37" s="14">
        <f t="shared" si="4"/>
        <v>0</v>
      </c>
      <c r="P37" s="15">
        <f t="shared" si="5"/>
        <v>-5.4166666666666714</v>
      </c>
      <c r="Q37" s="277">
        <f t="shared" si="6"/>
        <v>0.95937499999999998</v>
      </c>
      <c r="R37" s="616"/>
      <c r="S37" s="32">
        <v>0.60694444444444429</v>
      </c>
      <c r="T37" s="32">
        <v>0.6680555555555554</v>
      </c>
      <c r="U37" s="278">
        <f t="shared" si="26"/>
        <v>6.9999999999999751</v>
      </c>
      <c r="V37" s="283">
        <f t="shared" si="25"/>
        <v>88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-97.5</v>
      </c>
      <c r="AF37" s="277">
        <f t="shared" si="9"/>
        <v>0.95937499999999998</v>
      </c>
      <c r="AG37" s="616"/>
    </row>
    <row r="38" spans="1:33" ht="15.75" customHeight="1">
      <c r="A38" s="633" t="s">
        <v>1414</v>
      </c>
      <c r="B38" s="27" t="s">
        <v>20</v>
      </c>
      <c r="C38" s="280" t="s">
        <v>22</v>
      </c>
      <c r="D38" s="281"/>
      <c r="E38" s="27">
        <v>26.37</v>
      </c>
      <c r="F38" s="285">
        <v>2542</v>
      </c>
      <c r="G38" s="278">
        <f t="shared" si="23"/>
        <v>67032.540000000008</v>
      </c>
      <c r="H38" s="31" t="s">
        <v>40</v>
      </c>
      <c r="I38" s="282">
        <v>18</v>
      </c>
      <c r="J38" s="29">
        <v>2400</v>
      </c>
      <c r="K38" s="12">
        <f t="shared" si="1"/>
        <v>133.33333333333334</v>
      </c>
      <c r="L38" s="282">
        <v>18</v>
      </c>
      <c r="M38" s="13">
        <f t="shared" si="24"/>
        <v>2310.9090909090878</v>
      </c>
      <c r="N38" s="12">
        <f t="shared" si="3"/>
        <v>128.38383838383822</v>
      </c>
      <c r="O38" s="14">
        <f t="shared" si="4"/>
        <v>0</v>
      </c>
      <c r="P38" s="15">
        <f t="shared" si="5"/>
        <v>-4.9494949494951186</v>
      </c>
      <c r="Q38" s="277">
        <f t="shared" si="6"/>
        <v>0.96287878787878667</v>
      </c>
      <c r="R38" s="616"/>
      <c r="S38" s="32">
        <v>0.67361111111111094</v>
      </c>
      <c r="T38" s="32">
        <v>0.71944444444444433</v>
      </c>
      <c r="U38" s="278">
        <f t="shared" si="26"/>
        <v>7.9999999999999716</v>
      </c>
      <c r="V38" s="283">
        <f t="shared" si="25"/>
        <v>66.000000000000085</v>
      </c>
      <c r="W38" s="16"/>
      <c r="X38" s="16"/>
      <c r="Y38" s="16"/>
      <c r="Z38" s="16"/>
      <c r="AA38" s="273"/>
      <c r="AB38" s="274"/>
      <c r="AC38" s="18"/>
      <c r="AD38" s="18"/>
      <c r="AE38" s="14">
        <f t="shared" si="8"/>
        <v>-89.090909090912191</v>
      </c>
      <c r="AF38" s="277">
        <f t="shared" si="9"/>
        <v>0.96287878787878656</v>
      </c>
      <c r="AG38" s="616"/>
    </row>
    <row r="39" spans="1:33" ht="15.75" customHeight="1">
      <c r="A39" s="633" t="s">
        <v>1414</v>
      </c>
      <c r="B39" s="27" t="s">
        <v>1410</v>
      </c>
      <c r="C39" s="658"/>
      <c r="D39" s="658"/>
      <c r="E39" s="279"/>
      <c r="F39" s="285"/>
      <c r="G39" s="278"/>
      <c r="H39" s="285"/>
      <c r="I39" s="21">
        <v>17.5</v>
      </c>
      <c r="J39" s="29">
        <v>2400</v>
      </c>
      <c r="K39" s="12">
        <f t="shared" si="1"/>
        <v>137.14285714285714</v>
      </c>
      <c r="L39" s="21">
        <v>17.5</v>
      </c>
      <c r="M39" s="13">
        <f>AVERAGE(M31:M38)</f>
        <v>2297.9379787379257</v>
      </c>
      <c r="N39" s="12">
        <f t="shared" si="3"/>
        <v>131.31074164216719</v>
      </c>
      <c r="O39" s="14">
        <f t="shared" si="4"/>
        <v>0</v>
      </c>
      <c r="P39" s="15">
        <f t="shared" si="5"/>
        <v>-5.8321155006899517</v>
      </c>
      <c r="Q39" s="277">
        <f t="shared" si="6"/>
        <v>0.95747415780746914</v>
      </c>
      <c r="R39" s="616"/>
      <c r="S39" s="32"/>
      <c r="T39" s="32"/>
      <c r="U39" s="278"/>
      <c r="V39" s="283"/>
      <c r="W39" s="278"/>
      <c r="X39" s="278"/>
      <c r="Y39" s="22">
        <f>SUM(Y31:Y38)</f>
        <v>0</v>
      </c>
      <c r="Z39" s="22">
        <f>SUM(Z31:Z38)</f>
        <v>0</v>
      </c>
      <c r="AA39" s="611"/>
      <c r="AB39" s="611"/>
      <c r="AC39" s="22">
        <v>8</v>
      </c>
      <c r="AD39" s="22">
        <f>SUM(AD31:AD38)</f>
        <v>0</v>
      </c>
      <c r="AE39" s="14">
        <f t="shared" si="8"/>
        <v>-102.06202126207427</v>
      </c>
      <c r="AF39" s="277">
        <f t="shared" si="9"/>
        <v>0.95747415780746903</v>
      </c>
      <c r="AG39" s="616"/>
    </row>
    <row r="40" spans="1:33" ht="15.75" customHeight="1">
      <c r="A40" s="629" t="s">
        <v>1415</v>
      </c>
      <c r="B40" s="27" t="s">
        <v>20</v>
      </c>
      <c r="C40" s="660" t="s">
        <v>58</v>
      </c>
      <c r="D40" s="660"/>
      <c r="E40" s="27">
        <v>26.18</v>
      </c>
      <c r="F40" s="285">
        <v>3500</v>
      </c>
      <c r="G40" s="278">
        <f t="shared" ref="G40:G47" si="27">E40*F40</f>
        <v>91630</v>
      </c>
      <c r="H40" s="31">
        <v>2</v>
      </c>
      <c r="I40" s="282">
        <v>20</v>
      </c>
      <c r="J40" s="29">
        <v>2400</v>
      </c>
      <c r="K40" s="12">
        <f t="shared" si="1"/>
        <v>120</v>
      </c>
      <c r="L40" s="282">
        <v>20</v>
      </c>
      <c r="M40" s="13">
        <f t="shared" ref="M40:M47" si="28">F40/V40*60</f>
        <v>2282.608695652174</v>
      </c>
      <c r="N40" s="12">
        <f t="shared" si="3"/>
        <v>114.1304347826087</v>
      </c>
      <c r="O40" s="14">
        <f t="shared" si="4"/>
        <v>0</v>
      </c>
      <c r="P40" s="15">
        <f t="shared" si="5"/>
        <v>-5.8695652173912976</v>
      </c>
      <c r="Q40" s="277">
        <f t="shared" si="6"/>
        <v>0.95108695652173914</v>
      </c>
      <c r="R40" s="616">
        <f>Q48</f>
        <v>0.95766307317104482</v>
      </c>
      <c r="S40" s="32">
        <v>8.3333333333333329E-2</v>
      </c>
      <c r="T40" s="32">
        <v>0.14722222222222223</v>
      </c>
      <c r="U40" s="278"/>
      <c r="V40" s="283">
        <f t="shared" ref="V40:V47" si="29">(T40-S40)*24*60</f>
        <v>92.000000000000014</v>
      </c>
      <c r="W40" s="20">
        <f>T40</f>
        <v>0.14722222222222223</v>
      </c>
      <c r="X40" s="20">
        <f>S41</f>
        <v>0.16666666666666669</v>
      </c>
      <c r="Y40" s="20"/>
      <c r="Z40" s="20"/>
      <c r="AA40" s="612"/>
      <c r="AB40" s="612"/>
      <c r="AC40" s="18">
        <v>8</v>
      </c>
      <c r="AD40" s="18"/>
      <c r="AE40" s="14">
        <f t="shared" si="8"/>
        <v>-117.39130434782601</v>
      </c>
      <c r="AF40" s="277">
        <f t="shared" si="9"/>
        <v>0.95108695652173914</v>
      </c>
      <c r="AG40" s="616">
        <f>AF48</f>
        <v>0.95766307317104482</v>
      </c>
    </row>
    <row r="41" spans="1:33" ht="15.75" customHeight="1">
      <c r="A41" s="629" t="s">
        <v>1415</v>
      </c>
      <c r="B41" s="27" t="s">
        <v>20</v>
      </c>
      <c r="C41" s="660" t="s">
        <v>25</v>
      </c>
      <c r="D41" s="660"/>
      <c r="E41" s="27">
        <v>24.43</v>
      </c>
      <c r="F41" s="285">
        <v>4000</v>
      </c>
      <c r="G41" s="278">
        <f t="shared" si="27"/>
        <v>97720</v>
      </c>
      <c r="H41" s="31">
        <v>2</v>
      </c>
      <c r="I41" s="282">
        <v>14</v>
      </c>
      <c r="J41" s="29">
        <v>2400</v>
      </c>
      <c r="K41" s="12">
        <f t="shared" si="1"/>
        <v>171.42857142857142</v>
      </c>
      <c r="L41" s="282">
        <v>14</v>
      </c>
      <c r="M41" s="13">
        <f t="shared" si="28"/>
        <v>2285.7142857142853</v>
      </c>
      <c r="N41" s="12">
        <f t="shared" si="3"/>
        <v>163.26530612244895</v>
      </c>
      <c r="O41" s="14">
        <f t="shared" si="4"/>
        <v>0</v>
      </c>
      <c r="P41" s="15">
        <f t="shared" si="5"/>
        <v>-8.1632653061224687</v>
      </c>
      <c r="Q41" s="277">
        <f t="shared" si="6"/>
        <v>0.95238095238095222</v>
      </c>
      <c r="R41" s="616"/>
      <c r="S41" s="32">
        <v>0.16666666666666669</v>
      </c>
      <c r="T41" s="32">
        <v>0.23958333333333337</v>
      </c>
      <c r="U41" s="278">
        <f t="shared" ref="U41:U47" si="30">(S41-T40)*24*60</f>
        <v>28.000000000000021</v>
      </c>
      <c r="V41" s="283">
        <f t="shared" si="29"/>
        <v>105.00000000000003</v>
      </c>
      <c r="W41" s="278"/>
      <c r="X41" s="278"/>
      <c r="Y41" s="278"/>
      <c r="Z41" s="278"/>
      <c r="AA41" s="612"/>
      <c r="AB41" s="612"/>
      <c r="AC41" s="18"/>
      <c r="AD41" s="18"/>
      <c r="AE41" s="14">
        <f t="shared" si="8"/>
        <v>-114.28571428571468</v>
      </c>
      <c r="AF41" s="277">
        <f t="shared" si="9"/>
        <v>0.95238095238095222</v>
      </c>
      <c r="AG41" s="616"/>
    </row>
    <row r="42" spans="1:33">
      <c r="A42" s="630" t="s">
        <v>1415</v>
      </c>
      <c r="B42" s="27" t="s">
        <v>20</v>
      </c>
      <c r="C42" s="660" t="s">
        <v>83</v>
      </c>
      <c r="D42" s="660"/>
      <c r="E42" s="27">
        <v>25.98</v>
      </c>
      <c r="F42" s="285">
        <v>4199</v>
      </c>
      <c r="G42" s="278">
        <f t="shared" si="27"/>
        <v>109090.02</v>
      </c>
      <c r="H42" s="31" t="s">
        <v>40</v>
      </c>
      <c r="I42" s="282">
        <v>20</v>
      </c>
      <c r="J42" s="29">
        <v>2400</v>
      </c>
      <c r="K42" s="12">
        <f t="shared" si="1"/>
        <v>120</v>
      </c>
      <c r="L42" s="282">
        <v>20</v>
      </c>
      <c r="M42" s="13">
        <f t="shared" si="28"/>
        <v>2290.3636363636369</v>
      </c>
      <c r="N42" s="12">
        <f t="shared" si="3"/>
        <v>114.51818181818184</v>
      </c>
      <c r="O42" s="14">
        <f t="shared" si="4"/>
        <v>0</v>
      </c>
      <c r="P42" s="15">
        <f t="shared" si="5"/>
        <v>-5.4818181818181557</v>
      </c>
      <c r="Q42" s="277">
        <f t="shared" si="6"/>
        <v>0.95431818181818207</v>
      </c>
      <c r="R42" s="616"/>
      <c r="S42" s="32">
        <v>0.24513888888888893</v>
      </c>
      <c r="T42" s="32">
        <v>0.3215277777777778</v>
      </c>
      <c r="U42" s="278">
        <f t="shared" si="30"/>
        <v>8.0000000000000107</v>
      </c>
      <c r="V42" s="283">
        <f t="shared" si="29"/>
        <v>109.99999999999997</v>
      </c>
      <c r="W42" s="278"/>
      <c r="X42" s="278"/>
      <c r="Y42" s="278"/>
      <c r="Z42" s="278"/>
      <c r="AA42" s="612"/>
      <c r="AB42" s="612"/>
      <c r="AC42" s="18"/>
      <c r="AD42" s="18"/>
      <c r="AE42" s="14">
        <f t="shared" si="8"/>
        <v>-109.63636363636306</v>
      </c>
      <c r="AF42" s="277">
        <f t="shared" si="9"/>
        <v>0.95431818181818207</v>
      </c>
      <c r="AG42" s="616"/>
    </row>
    <row r="43" spans="1:33">
      <c r="A43" s="630" t="s">
        <v>1415</v>
      </c>
      <c r="B43" s="27" t="s">
        <v>20</v>
      </c>
      <c r="C43" s="660" t="s">
        <v>26</v>
      </c>
      <c r="D43" s="660"/>
      <c r="E43" s="27">
        <v>34.1</v>
      </c>
      <c r="F43" s="285">
        <v>3700</v>
      </c>
      <c r="G43" s="278">
        <f t="shared" si="27"/>
        <v>126170</v>
      </c>
      <c r="H43" s="31">
        <v>2</v>
      </c>
      <c r="I43" s="282">
        <v>17</v>
      </c>
      <c r="J43" s="29">
        <v>1600</v>
      </c>
      <c r="K43" s="12">
        <f t="shared" si="1"/>
        <v>94.117647058823536</v>
      </c>
      <c r="L43" s="282">
        <v>17</v>
      </c>
      <c r="M43" s="13">
        <f t="shared" si="28"/>
        <v>1531.0344827586209</v>
      </c>
      <c r="N43" s="12">
        <f t="shared" si="3"/>
        <v>90.060851926977705</v>
      </c>
      <c r="O43" s="14">
        <f t="shared" si="4"/>
        <v>0</v>
      </c>
      <c r="P43" s="15">
        <f t="shared" si="5"/>
        <v>-4.0567951318458313</v>
      </c>
      <c r="Q43" s="277">
        <f t="shared" si="6"/>
        <v>0.95689655172413801</v>
      </c>
      <c r="R43" s="616"/>
      <c r="S43" s="32">
        <v>0.32708333333333334</v>
      </c>
      <c r="T43" s="32">
        <v>0.42777777777777776</v>
      </c>
      <c r="U43" s="278">
        <f t="shared" si="30"/>
        <v>7.9999999999999716</v>
      </c>
      <c r="V43" s="283">
        <f t="shared" si="29"/>
        <v>144.99999999999997</v>
      </c>
      <c r="W43" s="16"/>
      <c r="X43" s="16"/>
      <c r="Y43" s="16"/>
      <c r="Z43" s="16"/>
      <c r="AA43" s="612"/>
      <c r="AB43" s="612"/>
      <c r="AC43" s="18"/>
      <c r="AD43" s="18"/>
      <c r="AE43" s="14">
        <f t="shared" si="8"/>
        <v>-68.965517241379075</v>
      </c>
      <c r="AF43" s="277">
        <f t="shared" si="9"/>
        <v>0.95689655172413812</v>
      </c>
      <c r="AG43" s="616"/>
    </row>
    <row r="44" spans="1:33">
      <c r="A44" s="630" t="s">
        <v>1415</v>
      </c>
      <c r="B44" s="27" t="s">
        <v>20</v>
      </c>
      <c r="C44" s="660" t="s">
        <v>64</v>
      </c>
      <c r="D44" s="660"/>
      <c r="E44" s="27">
        <v>20.21</v>
      </c>
      <c r="F44" s="285">
        <v>2737</v>
      </c>
      <c r="G44" s="278">
        <f t="shared" si="27"/>
        <v>55314.770000000004</v>
      </c>
      <c r="H44" s="31" t="s">
        <v>40</v>
      </c>
      <c r="I44" s="282">
        <v>18</v>
      </c>
      <c r="J44" s="29">
        <v>2400</v>
      </c>
      <c r="K44" s="12">
        <f t="shared" si="1"/>
        <v>133.33333333333334</v>
      </c>
      <c r="L44" s="282">
        <v>18</v>
      </c>
      <c r="M44" s="13">
        <f t="shared" si="28"/>
        <v>2312.9577464788736</v>
      </c>
      <c r="N44" s="12">
        <f t="shared" si="3"/>
        <v>128.49765258215965</v>
      </c>
      <c r="O44" s="14">
        <f t="shared" si="4"/>
        <v>0</v>
      </c>
      <c r="P44" s="15">
        <f t="shared" si="5"/>
        <v>-4.8356807511736974</v>
      </c>
      <c r="Q44" s="277">
        <f t="shared" si="6"/>
        <v>0.96373239436619729</v>
      </c>
      <c r="R44" s="616"/>
      <c r="S44" s="32">
        <v>0.43124999999999997</v>
      </c>
      <c r="T44" s="32">
        <v>0.48055555555555551</v>
      </c>
      <c r="U44" s="278">
        <f t="shared" si="30"/>
        <v>4.9999999999999822</v>
      </c>
      <c r="V44" s="283">
        <f t="shared" si="29"/>
        <v>70.999999999999986</v>
      </c>
      <c r="W44" s="16">
        <f>T44</f>
        <v>0.48055555555555551</v>
      </c>
      <c r="X44" s="16">
        <f>S45</f>
        <v>0.51944444444444438</v>
      </c>
      <c r="Y44" s="16"/>
      <c r="Z44" s="16"/>
      <c r="AA44" s="612"/>
      <c r="AB44" s="612"/>
      <c r="AC44" s="18"/>
      <c r="AD44" s="18"/>
      <c r="AE44" s="14">
        <f t="shared" si="8"/>
        <v>-87.04225352112644</v>
      </c>
      <c r="AF44" s="277">
        <f t="shared" si="9"/>
        <v>0.96373239436619729</v>
      </c>
      <c r="AG44" s="616"/>
    </row>
    <row r="45" spans="1:33">
      <c r="A45" s="630" t="s">
        <v>1415</v>
      </c>
      <c r="B45" s="27" t="s">
        <v>20</v>
      </c>
      <c r="C45" s="660" t="s">
        <v>58</v>
      </c>
      <c r="D45" s="660"/>
      <c r="E45" s="27">
        <v>26.18</v>
      </c>
      <c r="F45" s="285">
        <v>2737</v>
      </c>
      <c r="G45" s="278">
        <f t="shared" si="27"/>
        <v>71654.66</v>
      </c>
      <c r="H45" s="31" t="s">
        <v>40</v>
      </c>
      <c r="I45" s="282">
        <v>20</v>
      </c>
      <c r="J45" s="29">
        <v>2400</v>
      </c>
      <c r="K45" s="12">
        <f t="shared" si="1"/>
        <v>120</v>
      </c>
      <c r="L45" s="282">
        <v>20</v>
      </c>
      <c r="M45" s="13">
        <f t="shared" si="28"/>
        <v>2312.9577464788708</v>
      </c>
      <c r="N45" s="12">
        <f t="shared" si="3"/>
        <v>115.64788732394354</v>
      </c>
      <c r="O45" s="14">
        <f t="shared" si="4"/>
        <v>0</v>
      </c>
      <c r="P45" s="15">
        <f t="shared" si="5"/>
        <v>-4.3521126760564641</v>
      </c>
      <c r="Q45" s="277">
        <f t="shared" si="6"/>
        <v>0.96373239436619618</v>
      </c>
      <c r="R45" s="616"/>
      <c r="S45" s="32">
        <v>0.51944444444444438</v>
      </c>
      <c r="T45" s="32">
        <v>0.56874999999999998</v>
      </c>
      <c r="U45" s="278">
        <f t="shared" si="30"/>
        <v>55.999999999999957</v>
      </c>
      <c r="V45" s="283">
        <f t="shared" si="29"/>
        <v>71.000000000000071</v>
      </c>
      <c r="W45" s="16"/>
      <c r="X45" s="16"/>
      <c r="Y45" s="16"/>
      <c r="Z45" s="16"/>
      <c r="AA45" s="612"/>
      <c r="AB45" s="612"/>
      <c r="AC45" s="18"/>
      <c r="AD45" s="18"/>
      <c r="AE45" s="14">
        <f t="shared" si="8"/>
        <v>-87.042253521129169</v>
      </c>
      <c r="AF45" s="277">
        <f t="shared" si="9"/>
        <v>0.96373239436619618</v>
      </c>
      <c r="AG45" s="616"/>
    </row>
    <row r="46" spans="1:33">
      <c r="A46" s="630" t="s">
        <v>1415</v>
      </c>
      <c r="B46" s="27" t="s">
        <v>20</v>
      </c>
      <c r="C46" s="660" t="s">
        <v>26</v>
      </c>
      <c r="D46" s="660"/>
      <c r="E46" s="27">
        <v>34.1</v>
      </c>
      <c r="F46" s="285">
        <v>2936</v>
      </c>
      <c r="G46" s="278">
        <f t="shared" si="27"/>
        <v>100117.6</v>
      </c>
      <c r="H46" s="31" t="s">
        <v>40</v>
      </c>
      <c r="I46" s="282">
        <v>17</v>
      </c>
      <c r="J46" s="29">
        <v>1600</v>
      </c>
      <c r="K46" s="12">
        <f t="shared" si="1"/>
        <v>94.117647058823536</v>
      </c>
      <c r="L46" s="282">
        <v>17</v>
      </c>
      <c r="M46" s="13">
        <f t="shared" si="28"/>
        <v>1531.8260869565208</v>
      </c>
      <c r="N46" s="12">
        <f t="shared" si="3"/>
        <v>90.107416879795338</v>
      </c>
      <c r="O46" s="14">
        <f t="shared" si="4"/>
        <v>0</v>
      </c>
      <c r="P46" s="15">
        <f t="shared" si="5"/>
        <v>-4.0102301790281984</v>
      </c>
      <c r="Q46" s="277">
        <f t="shared" si="6"/>
        <v>0.95739130434782538</v>
      </c>
      <c r="R46" s="616"/>
      <c r="S46" s="32">
        <v>0.57361111111111107</v>
      </c>
      <c r="T46" s="32">
        <v>0.65347222222222223</v>
      </c>
      <c r="U46" s="278">
        <f t="shared" si="30"/>
        <v>6.9999999999999751</v>
      </c>
      <c r="V46" s="283">
        <f t="shared" si="29"/>
        <v>115.00000000000007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-68.17391304347916</v>
      </c>
      <c r="AF46" s="277">
        <f t="shared" si="9"/>
        <v>0.95739130434782549</v>
      </c>
      <c r="AG46" s="616"/>
    </row>
    <row r="47" spans="1:33">
      <c r="A47" s="630" t="s">
        <v>1415</v>
      </c>
      <c r="B47" s="27" t="s">
        <v>20</v>
      </c>
      <c r="C47" s="660" t="s">
        <v>25</v>
      </c>
      <c r="D47" s="660"/>
      <c r="E47" s="27">
        <v>24.43</v>
      </c>
      <c r="F47" s="285">
        <v>3115</v>
      </c>
      <c r="G47" s="278">
        <f t="shared" si="27"/>
        <v>76099.45</v>
      </c>
      <c r="H47" s="31" t="s">
        <v>40</v>
      </c>
      <c r="I47" s="282">
        <v>14</v>
      </c>
      <c r="J47" s="29">
        <v>2400</v>
      </c>
      <c r="K47" s="12">
        <f t="shared" si="1"/>
        <v>171.42857142857142</v>
      </c>
      <c r="L47" s="282">
        <v>14</v>
      </c>
      <c r="M47" s="13">
        <f t="shared" si="28"/>
        <v>2307.4074074074065</v>
      </c>
      <c r="N47" s="12">
        <f t="shared" si="3"/>
        <v>164.81481481481475</v>
      </c>
      <c r="O47" s="14">
        <f t="shared" si="4"/>
        <v>0</v>
      </c>
      <c r="P47" s="15">
        <f t="shared" si="5"/>
        <v>-6.6137566137566637</v>
      </c>
      <c r="Q47" s="277">
        <f t="shared" si="6"/>
        <v>0.96141975308641947</v>
      </c>
      <c r="R47" s="616"/>
      <c r="S47" s="32">
        <v>0.65694444444444444</v>
      </c>
      <c r="T47" s="32">
        <v>0.71319444444444446</v>
      </c>
      <c r="U47" s="278">
        <f t="shared" si="30"/>
        <v>4.9999999999999822</v>
      </c>
      <c r="V47" s="283">
        <f t="shared" si="29"/>
        <v>81.000000000000028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-92.592592592593519</v>
      </c>
      <c r="AF47" s="277">
        <f t="shared" si="9"/>
        <v>0.96141975308641936</v>
      </c>
      <c r="AG47" s="616"/>
    </row>
    <row r="48" spans="1:33">
      <c r="A48" s="630" t="s">
        <v>1415</v>
      </c>
      <c r="B48" s="28" t="s">
        <v>1410</v>
      </c>
      <c r="C48" s="658"/>
      <c r="D48" s="658"/>
      <c r="E48" s="279"/>
      <c r="F48" s="28"/>
      <c r="G48" s="12"/>
      <c r="H48" s="285"/>
      <c r="I48" s="21">
        <v>17.5</v>
      </c>
      <c r="J48" s="29">
        <v>2200</v>
      </c>
      <c r="K48" s="12">
        <f t="shared" si="1"/>
        <v>125.71428571428571</v>
      </c>
      <c r="L48" s="21">
        <v>17.5</v>
      </c>
      <c r="M48" s="13">
        <f>AVERAGE(M40:M47)</f>
        <v>2106.8587609762985</v>
      </c>
      <c r="N48" s="12">
        <f t="shared" si="3"/>
        <v>120.39192919864563</v>
      </c>
      <c r="O48" s="14">
        <f t="shared" si="4"/>
        <v>0</v>
      </c>
      <c r="P48" s="15">
        <f t="shared" si="5"/>
        <v>-5.3223565156400809</v>
      </c>
      <c r="Q48" s="277">
        <f t="shared" si="6"/>
        <v>0.95766307317104482</v>
      </c>
      <c r="R48" s="616"/>
      <c r="S48" s="32"/>
      <c r="T48" s="32"/>
      <c r="U48" s="12"/>
      <c r="V48" s="283"/>
      <c r="W48" s="12"/>
      <c r="X48" s="12"/>
      <c r="Y48" s="22">
        <f>SUM(Y40:Y47)</f>
        <v>0</v>
      </c>
      <c r="Z48" s="22">
        <f>SUM(Z40:Z47)</f>
        <v>0</v>
      </c>
      <c r="AA48" s="611"/>
      <c r="AB48" s="611"/>
      <c r="AC48" s="22">
        <v>8</v>
      </c>
      <c r="AD48" s="22">
        <f>SUM(AD40:AD47)</f>
        <v>0</v>
      </c>
      <c r="AE48" s="14">
        <f t="shared" si="8"/>
        <v>-93.141239023701473</v>
      </c>
      <c r="AF48" s="277">
        <f t="shared" si="9"/>
        <v>0.95766307317104482</v>
      </c>
      <c r="AG48" s="616"/>
    </row>
    <row r="49" spans="1:33" ht="15.75" customHeight="1">
      <c r="A49" s="623" t="s">
        <v>1416</v>
      </c>
      <c r="B49" s="27" t="s">
        <v>27</v>
      </c>
      <c r="C49" s="605" t="s">
        <v>33</v>
      </c>
      <c r="D49" s="606"/>
      <c r="E49" s="27">
        <v>34.36</v>
      </c>
      <c r="F49" s="285">
        <v>2244</v>
      </c>
      <c r="G49" s="278">
        <f t="shared" ref="G49:G52" si="31">E49*F49</f>
        <v>77103.839999999997</v>
      </c>
      <c r="H49" s="31" t="s">
        <v>40</v>
      </c>
      <c r="I49" s="282">
        <v>10</v>
      </c>
      <c r="J49" s="29">
        <v>3000</v>
      </c>
      <c r="K49" s="12">
        <f t="shared" si="1"/>
        <v>300</v>
      </c>
      <c r="L49" s="282">
        <v>10</v>
      </c>
      <c r="M49" s="13">
        <f t="shared" ref="M49:M52" si="32">F49/V49*60</f>
        <v>2864.6808510638302</v>
      </c>
      <c r="N49" s="13">
        <f t="shared" si="3"/>
        <v>286.468085106383</v>
      </c>
      <c r="O49" s="14">
        <f t="shared" si="4"/>
        <v>0</v>
      </c>
      <c r="P49" s="15">
        <f t="shared" si="5"/>
        <v>-13.531914893617</v>
      </c>
      <c r="Q49" s="277">
        <f t="shared" si="6"/>
        <v>0.95489361702127662</v>
      </c>
      <c r="R49" s="626">
        <f>Q53</f>
        <v>0.95710172534067828</v>
      </c>
      <c r="S49" s="32">
        <v>0.20833333333333334</v>
      </c>
      <c r="T49" s="32">
        <v>0.24097222222222223</v>
      </c>
      <c r="U49" s="20"/>
      <c r="V49" s="283">
        <f t="shared" ref="V49:V52" si="33">(T49-S49)*24*60</f>
        <v>46.999999999999993</v>
      </c>
      <c r="W49" s="16"/>
      <c r="X49" s="16"/>
      <c r="Y49" s="19"/>
      <c r="Z49" s="19"/>
      <c r="AA49" s="607"/>
      <c r="AB49" s="608"/>
      <c r="AC49" s="18">
        <v>4</v>
      </c>
      <c r="AD49" s="18"/>
      <c r="AE49" s="14">
        <f t="shared" si="8"/>
        <v>-135.31914893616977</v>
      </c>
      <c r="AF49" s="277">
        <f t="shared" si="9"/>
        <v>0.95489361702127673</v>
      </c>
      <c r="AG49" s="626">
        <f>AF53</f>
        <v>0.95710172534067817</v>
      </c>
    </row>
    <row r="50" spans="1:33" ht="15.75" customHeight="1">
      <c r="A50" s="624" t="s">
        <v>1416</v>
      </c>
      <c r="B50" s="27" t="s">
        <v>27</v>
      </c>
      <c r="C50" s="605" t="s">
        <v>29</v>
      </c>
      <c r="D50" s="606"/>
      <c r="E50" s="27">
        <v>21.13</v>
      </c>
      <c r="F50" s="285">
        <v>5836</v>
      </c>
      <c r="G50" s="278">
        <f t="shared" si="31"/>
        <v>123314.68</v>
      </c>
      <c r="H50" s="31" t="s">
        <v>40</v>
      </c>
      <c r="I50" s="282">
        <v>10</v>
      </c>
      <c r="J50" s="29">
        <v>3000</v>
      </c>
      <c r="K50" s="12">
        <f t="shared" si="1"/>
        <v>300</v>
      </c>
      <c r="L50" s="282">
        <v>10</v>
      </c>
      <c r="M50" s="13">
        <f t="shared" si="32"/>
        <v>2870.1639344262303</v>
      </c>
      <c r="N50" s="13">
        <f t="shared" si="3"/>
        <v>287.01639344262304</v>
      </c>
      <c r="O50" s="14">
        <f t="shared" si="4"/>
        <v>0</v>
      </c>
      <c r="P50" s="15">
        <f t="shared" si="5"/>
        <v>-12.983606557376959</v>
      </c>
      <c r="Q50" s="277">
        <f t="shared" si="6"/>
        <v>0.95672131147541017</v>
      </c>
      <c r="R50" s="627"/>
      <c r="S50" s="32">
        <v>0.24513888888888891</v>
      </c>
      <c r="T50" s="32">
        <v>0.3298611111111111</v>
      </c>
      <c r="U50" s="278">
        <f t="shared" ref="U50:U52" si="34">(S50-T49)*24*60</f>
        <v>6.0000000000000187</v>
      </c>
      <c r="V50" s="283">
        <f t="shared" si="33"/>
        <v>121.99999999999997</v>
      </c>
      <c r="W50" s="16"/>
      <c r="X50" s="16"/>
      <c r="Y50" s="19"/>
      <c r="Z50" s="19"/>
      <c r="AA50" s="607"/>
      <c r="AB50" s="608"/>
      <c r="AC50" s="18"/>
      <c r="AD50" s="18"/>
      <c r="AE50" s="14">
        <f t="shared" si="8"/>
        <v>-129.8360655737697</v>
      </c>
      <c r="AF50" s="277">
        <f t="shared" si="9"/>
        <v>0.95672131147541006</v>
      </c>
      <c r="AG50" s="627"/>
    </row>
    <row r="51" spans="1:33" ht="15.75" customHeight="1">
      <c r="A51" s="624" t="s">
        <v>1416</v>
      </c>
      <c r="B51" s="27" t="s">
        <v>27</v>
      </c>
      <c r="C51" s="605" t="s">
        <v>30</v>
      </c>
      <c r="D51" s="606"/>
      <c r="E51" s="27">
        <v>27.17</v>
      </c>
      <c r="F51" s="285">
        <v>5557</v>
      </c>
      <c r="G51" s="278">
        <f t="shared" si="31"/>
        <v>150983.69</v>
      </c>
      <c r="H51" s="31" t="s">
        <v>40</v>
      </c>
      <c r="I51" s="282">
        <v>10</v>
      </c>
      <c r="J51" s="29">
        <v>3000</v>
      </c>
      <c r="K51" s="12">
        <f t="shared" si="1"/>
        <v>300</v>
      </c>
      <c r="L51" s="282">
        <v>10</v>
      </c>
      <c r="M51" s="13">
        <f t="shared" si="32"/>
        <v>2874.3103448275865</v>
      </c>
      <c r="N51" s="13">
        <f t="shared" si="3"/>
        <v>287.43103448275866</v>
      </c>
      <c r="O51" s="14">
        <f t="shared" si="4"/>
        <v>0</v>
      </c>
      <c r="P51" s="15">
        <f t="shared" si="5"/>
        <v>-12.568965517241338</v>
      </c>
      <c r="Q51" s="277">
        <f t="shared" si="6"/>
        <v>0.95810344827586225</v>
      </c>
      <c r="R51" s="627"/>
      <c r="S51" s="32">
        <v>0.33402777777777776</v>
      </c>
      <c r="T51" s="32">
        <v>0.4145833333333333</v>
      </c>
      <c r="U51" s="278">
        <f t="shared" si="34"/>
        <v>5.9999999999999787</v>
      </c>
      <c r="V51" s="283">
        <f t="shared" si="33"/>
        <v>115.99999999999999</v>
      </c>
      <c r="W51" s="16"/>
      <c r="X51" s="16"/>
      <c r="Y51" s="19"/>
      <c r="Z51" s="19"/>
      <c r="AA51" s="607"/>
      <c r="AB51" s="608"/>
      <c r="AC51" s="18"/>
      <c r="AD51" s="18"/>
      <c r="AE51" s="14">
        <f t="shared" si="8"/>
        <v>-125.6896551724135</v>
      </c>
      <c r="AF51" s="277">
        <f t="shared" si="9"/>
        <v>0.95810344827586214</v>
      </c>
      <c r="AG51" s="627"/>
    </row>
    <row r="52" spans="1:33" ht="15.75" customHeight="1">
      <c r="A52" s="624" t="s">
        <v>1416</v>
      </c>
      <c r="B52" s="27" t="s">
        <v>27</v>
      </c>
      <c r="C52" s="605" t="s">
        <v>35</v>
      </c>
      <c r="D52" s="606"/>
      <c r="E52" s="27">
        <v>35.869999999999997</v>
      </c>
      <c r="F52" s="285">
        <v>2924</v>
      </c>
      <c r="G52" s="278">
        <f t="shared" si="31"/>
        <v>104883.87999999999</v>
      </c>
      <c r="H52" s="31" t="s">
        <v>40</v>
      </c>
      <c r="I52" s="282">
        <v>9</v>
      </c>
      <c r="J52" s="29">
        <v>3000</v>
      </c>
      <c r="K52" s="12">
        <f t="shared" si="1"/>
        <v>333.33333333333331</v>
      </c>
      <c r="L52" s="282">
        <v>9</v>
      </c>
      <c r="M52" s="13">
        <f t="shared" si="32"/>
        <v>2876.065573770491</v>
      </c>
      <c r="N52" s="13">
        <f t="shared" si="3"/>
        <v>319.56284153005458</v>
      </c>
      <c r="O52" s="14">
        <f t="shared" si="4"/>
        <v>0</v>
      </c>
      <c r="P52" s="15">
        <f t="shared" si="5"/>
        <v>-13.77049180327873</v>
      </c>
      <c r="Q52" s="277">
        <f t="shared" si="6"/>
        <v>0.95868852459016385</v>
      </c>
      <c r="R52" s="627"/>
      <c r="S52" s="32">
        <v>0.4194444444444444</v>
      </c>
      <c r="T52" s="32">
        <v>0.46180555555555552</v>
      </c>
      <c r="U52" s="278">
        <f t="shared" si="34"/>
        <v>6.9999999999999751</v>
      </c>
      <c r="V52" s="283">
        <f t="shared" si="33"/>
        <v>61.000000000000021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-123.93442622950897</v>
      </c>
      <c r="AF52" s="277">
        <f t="shared" si="9"/>
        <v>0.95868852459016363</v>
      </c>
      <c r="AG52" s="627"/>
    </row>
    <row r="53" spans="1:33" ht="15.75" customHeight="1">
      <c r="A53" s="625" t="s">
        <v>1416</v>
      </c>
      <c r="B53" s="27" t="s">
        <v>1410</v>
      </c>
      <c r="C53" s="609"/>
      <c r="D53" s="610"/>
      <c r="E53" s="275"/>
      <c r="F53" s="285"/>
      <c r="G53" s="278"/>
      <c r="H53" s="285"/>
      <c r="I53" s="21">
        <v>9.75</v>
      </c>
      <c r="J53" s="29">
        <v>3000</v>
      </c>
      <c r="K53" s="12">
        <f t="shared" si="1"/>
        <v>307.69230769230768</v>
      </c>
      <c r="L53" s="21">
        <v>9.75</v>
      </c>
      <c r="M53" s="13">
        <f>AVERAGE(M49:M52)</f>
        <v>2871.3051760220346</v>
      </c>
      <c r="N53" s="12">
        <f t="shared" si="3"/>
        <v>294.49283856636254</v>
      </c>
      <c r="O53" s="14">
        <f t="shared" si="4"/>
        <v>0</v>
      </c>
      <c r="P53" s="15">
        <f t="shared" si="5"/>
        <v>-13.199469125945143</v>
      </c>
      <c r="Q53" s="277">
        <f t="shared" si="6"/>
        <v>0.95710172534067828</v>
      </c>
      <c r="R53" s="628"/>
      <c r="S53" s="32"/>
      <c r="T53" s="32"/>
      <c r="U53" s="278"/>
      <c r="V53" s="283"/>
      <c r="W53" s="16"/>
      <c r="X53" s="16"/>
      <c r="Y53" s="22">
        <f>SUM(Y49:Y52)</f>
        <v>0</v>
      </c>
      <c r="Z53" s="22">
        <f>SUM(Z49:Z52)</f>
        <v>0</v>
      </c>
      <c r="AA53" s="619"/>
      <c r="AB53" s="620"/>
      <c r="AC53" s="22">
        <v>4</v>
      </c>
      <c r="AD53" s="22">
        <f>SUM(AD49:AD52)</f>
        <v>0</v>
      </c>
      <c r="AE53" s="14">
        <f t="shared" si="8"/>
        <v>-128.69482397796537</v>
      </c>
      <c r="AF53" s="277">
        <f t="shared" si="9"/>
        <v>0.95710172534067817</v>
      </c>
      <c r="AG53" s="628"/>
    </row>
    <row r="54" spans="1:33" ht="15.75" customHeight="1">
      <c r="A54" s="621" t="s">
        <v>1417</v>
      </c>
      <c r="B54" s="27" t="s">
        <v>5</v>
      </c>
      <c r="C54" s="660" t="s">
        <v>15</v>
      </c>
      <c r="D54" s="660"/>
      <c r="E54" s="27">
        <v>59.04</v>
      </c>
      <c r="F54" s="30">
        <v>2335</v>
      </c>
      <c r="G54" s="278">
        <f t="shared" ref="G54:G62" si="35">E54*F54</f>
        <v>137858.4</v>
      </c>
      <c r="H54" s="31" t="s">
        <v>40</v>
      </c>
      <c r="I54" s="282">
        <v>19</v>
      </c>
      <c r="J54" s="29">
        <v>2000</v>
      </c>
      <c r="K54" s="12">
        <f t="shared" si="1"/>
        <v>105.26315789473684</v>
      </c>
      <c r="L54" s="282">
        <v>19</v>
      </c>
      <c r="M54" s="13">
        <f t="shared" ref="M54" si="36">F54/V54*60</f>
        <v>1919.1780821917805</v>
      </c>
      <c r="N54" s="13">
        <f t="shared" si="3"/>
        <v>101.00937274693581</v>
      </c>
      <c r="O54" s="14">
        <f t="shared" si="4"/>
        <v>0</v>
      </c>
      <c r="P54" s="15">
        <f t="shared" si="5"/>
        <v>-4.2537851478010253</v>
      </c>
      <c r="Q54" s="277">
        <f t="shared" si="6"/>
        <v>0.95958904109589027</v>
      </c>
      <c r="R54" s="616">
        <f>Q63</f>
        <v>0.95931398028557002</v>
      </c>
      <c r="S54" s="32">
        <v>0.20833333333333334</v>
      </c>
      <c r="T54" s="32">
        <v>0.2590277777777778</v>
      </c>
      <c r="U54" s="20"/>
      <c r="V54" s="283">
        <f t="shared" ref="V54:V62" si="37">(T54-S54)*24*60</f>
        <v>73.000000000000014</v>
      </c>
      <c r="W54" s="16"/>
      <c r="X54" s="16"/>
      <c r="Y54" s="20"/>
      <c r="Z54" s="20"/>
      <c r="AA54" s="612"/>
      <c r="AB54" s="612"/>
      <c r="AC54" s="18">
        <v>9</v>
      </c>
      <c r="AD54" s="18"/>
      <c r="AE54" s="14">
        <f t="shared" si="8"/>
        <v>-80.821917808219496</v>
      </c>
      <c r="AF54" s="277">
        <f t="shared" si="9"/>
        <v>0.95958904109589027</v>
      </c>
      <c r="AG54" s="616">
        <f>AF63</f>
        <v>0.95931398028557002</v>
      </c>
    </row>
    <row r="55" spans="1:33" ht="15.75" customHeight="1">
      <c r="A55" s="621" t="s">
        <v>1417</v>
      </c>
      <c r="B55" s="27" t="s">
        <v>5</v>
      </c>
      <c r="C55" s="660" t="s">
        <v>31</v>
      </c>
      <c r="D55" s="660"/>
      <c r="E55" s="27">
        <v>56.43</v>
      </c>
      <c r="F55" s="30">
        <v>1547</v>
      </c>
      <c r="G55" s="278">
        <f t="shared" si="35"/>
        <v>87297.21</v>
      </c>
      <c r="H55" s="31" t="s">
        <v>40</v>
      </c>
      <c r="I55" s="282">
        <v>22</v>
      </c>
      <c r="J55" s="29">
        <v>2000</v>
      </c>
      <c r="K55" s="12">
        <f t="shared" si="1"/>
        <v>90.909090909090907</v>
      </c>
      <c r="L55" s="282">
        <v>22</v>
      </c>
      <c r="M55" s="13">
        <f>F55/V55*60</f>
        <v>1933.7500000000007</v>
      </c>
      <c r="N55" s="13">
        <f t="shared" si="3"/>
        <v>87.897727272727309</v>
      </c>
      <c r="O55" s="14">
        <f t="shared" si="4"/>
        <v>0</v>
      </c>
      <c r="P55" s="15">
        <f t="shared" si="5"/>
        <v>-3.0113636363635976</v>
      </c>
      <c r="Q55" s="277">
        <f t="shared" si="6"/>
        <v>0.96687500000000037</v>
      </c>
      <c r="R55" s="616"/>
      <c r="S55" s="32">
        <v>0.26250000000000001</v>
      </c>
      <c r="T55" s="32">
        <v>0.29583333333333334</v>
      </c>
      <c r="U55" s="278">
        <f t="shared" ref="U55:U62" si="38">IF(S55=TIME(17,0,0),"",(S55-T54)*24*60)</f>
        <v>4.9999999999999822</v>
      </c>
      <c r="V55" s="283">
        <f t="shared" si="37"/>
        <v>47.999999999999986</v>
      </c>
      <c r="W55" s="16"/>
      <c r="X55" s="16"/>
      <c r="Y55" s="16"/>
      <c r="Z55" s="16"/>
      <c r="AA55" s="612"/>
      <c r="AB55" s="612"/>
      <c r="AC55" s="18"/>
      <c r="AD55" s="18"/>
      <c r="AE55" s="14">
        <f t="shared" si="8"/>
        <v>-66.249999999999318</v>
      </c>
      <c r="AF55" s="277">
        <f t="shared" si="9"/>
        <v>0.96687500000000037</v>
      </c>
      <c r="AG55" s="616"/>
    </row>
    <row r="56" spans="1:33" ht="15.75" customHeight="1">
      <c r="A56" s="621" t="s">
        <v>1417</v>
      </c>
      <c r="B56" s="27" t="s">
        <v>5</v>
      </c>
      <c r="C56" s="605" t="s">
        <v>81</v>
      </c>
      <c r="D56" s="606"/>
      <c r="E56" s="27">
        <v>51.44</v>
      </c>
      <c r="F56" s="30">
        <v>2243</v>
      </c>
      <c r="G56" s="278">
        <f t="shared" si="35"/>
        <v>115379.92</v>
      </c>
      <c r="H56" s="31" t="s">
        <v>40</v>
      </c>
      <c r="I56" s="282">
        <v>25</v>
      </c>
      <c r="J56" s="29">
        <v>2000</v>
      </c>
      <c r="K56" s="12">
        <f t="shared" si="1"/>
        <v>80</v>
      </c>
      <c r="L56" s="282">
        <v>25</v>
      </c>
      <c r="M56" s="13">
        <f t="shared" ref="M56:M62" si="39">F56/V56*60</f>
        <v>1922.5714285714291</v>
      </c>
      <c r="N56" s="13">
        <f t="shared" si="3"/>
        <v>76.902857142857158</v>
      </c>
      <c r="O56" s="14">
        <f t="shared" si="4"/>
        <v>0</v>
      </c>
      <c r="P56" s="15">
        <f t="shared" si="5"/>
        <v>-3.0971428571428419</v>
      </c>
      <c r="Q56" s="277">
        <f t="shared" si="6"/>
        <v>0.96128571428571452</v>
      </c>
      <c r="R56" s="616"/>
      <c r="S56" s="32">
        <v>0.30138888888888887</v>
      </c>
      <c r="T56" s="32">
        <v>0.35</v>
      </c>
      <c r="U56" s="278">
        <f t="shared" si="38"/>
        <v>7.9999999999999716</v>
      </c>
      <c r="V56" s="283">
        <f t="shared" si="37"/>
        <v>69.999999999999986</v>
      </c>
      <c r="W56" s="16"/>
      <c r="X56" s="16"/>
      <c r="Y56" s="19"/>
      <c r="Z56" s="19"/>
      <c r="AA56" s="612"/>
      <c r="AB56" s="612"/>
      <c r="AC56" s="18"/>
      <c r="AD56" s="18"/>
      <c r="AE56" s="14">
        <f t="shared" si="8"/>
        <v>-77.428571428570876</v>
      </c>
      <c r="AF56" s="277">
        <f t="shared" si="9"/>
        <v>0.96128571428571452</v>
      </c>
      <c r="AG56" s="616"/>
    </row>
    <row r="57" spans="1:33" ht="15.75" customHeight="1">
      <c r="A57" s="621" t="s">
        <v>1417</v>
      </c>
      <c r="B57" s="27" t="s">
        <v>8</v>
      </c>
      <c r="C57" s="271" t="s">
        <v>61</v>
      </c>
      <c r="D57" s="272"/>
      <c r="E57" s="27">
        <v>46</v>
      </c>
      <c r="F57" s="30">
        <v>2288</v>
      </c>
      <c r="G57" s="278">
        <f t="shared" si="35"/>
        <v>105248</v>
      </c>
      <c r="H57" s="31" t="s">
        <v>40</v>
      </c>
      <c r="I57" s="282">
        <v>16</v>
      </c>
      <c r="J57" s="29">
        <v>2000</v>
      </c>
      <c r="K57" s="12">
        <f t="shared" si="1"/>
        <v>125</v>
      </c>
      <c r="L57" s="282">
        <v>16</v>
      </c>
      <c r="M57" s="13">
        <f t="shared" si="39"/>
        <v>1906.6666666666672</v>
      </c>
      <c r="N57" s="13">
        <f t="shared" si="3"/>
        <v>119.1666666666667</v>
      </c>
      <c r="O57" s="14">
        <f t="shared" si="4"/>
        <v>0</v>
      </c>
      <c r="P57" s="15">
        <f t="shared" si="5"/>
        <v>-5.8333333333333002</v>
      </c>
      <c r="Q57" s="277">
        <f t="shared" si="6"/>
        <v>0.95333333333333359</v>
      </c>
      <c r="R57" s="616"/>
      <c r="S57" s="32">
        <v>0.35486111111111107</v>
      </c>
      <c r="T57" s="32">
        <v>0.40486111111111106</v>
      </c>
      <c r="U57" s="278">
        <f t="shared" si="38"/>
        <v>6.9999999999999751</v>
      </c>
      <c r="V57" s="283">
        <f t="shared" si="37"/>
        <v>71.999999999999986</v>
      </c>
      <c r="W57" s="16"/>
      <c r="X57" s="16"/>
      <c r="Y57" s="19"/>
      <c r="Z57" s="19"/>
      <c r="AA57" s="612"/>
      <c r="AB57" s="612"/>
      <c r="AC57" s="18"/>
      <c r="AD57" s="18"/>
      <c r="AE57" s="14">
        <f t="shared" si="8"/>
        <v>-93.333333333332803</v>
      </c>
      <c r="AF57" s="277">
        <f t="shared" si="9"/>
        <v>0.95333333333333359</v>
      </c>
      <c r="AG57" s="616"/>
    </row>
    <row r="58" spans="1:33" ht="15.75" customHeight="1">
      <c r="A58" s="621" t="s">
        <v>1417</v>
      </c>
      <c r="B58" s="27" t="s">
        <v>8</v>
      </c>
      <c r="C58" s="271" t="s">
        <v>79</v>
      </c>
      <c r="D58" s="272"/>
      <c r="E58" s="27">
        <v>46</v>
      </c>
      <c r="F58" s="30">
        <v>2610</v>
      </c>
      <c r="G58" s="278">
        <f t="shared" si="35"/>
        <v>120060</v>
      </c>
      <c r="H58" s="31" t="s">
        <v>40</v>
      </c>
      <c r="I58" s="282">
        <v>17</v>
      </c>
      <c r="J58" s="29">
        <v>2000</v>
      </c>
      <c r="K58" s="12">
        <f t="shared" si="1"/>
        <v>117.64705882352941</v>
      </c>
      <c r="L58" s="282">
        <v>17</v>
      </c>
      <c r="M58" s="13">
        <f t="shared" si="39"/>
        <v>1909.7560975609749</v>
      </c>
      <c r="N58" s="13">
        <f t="shared" si="3"/>
        <v>112.338593974175</v>
      </c>
      <c r="O58" s="14">
        <f t="shared" si="4"/>
        <v>0</v>
      </c>
      <c r="P58" s="15">
        <f t="shared" si="5"/>
        <v>-5.308464849354408</v>
      </c>
      <c r="Q58" s="277">
        <f t="shared" si="6"/>
        <v>0.95487804878048754</v>
      </c>
      <c r="R58" s="616"/>
      <c r="S58" s="32">
        <v>0.4104166666666666</v>
      </c>
      <c r="T58" s="32">
        <v>0.46736111111111106</v>
      </c>
      <c r="U58" s="278">
        <f t="shared" si="38"/>
        <v>7.9999999999999716</v>
      </c>
      <c r="V58" s="283">
        <f t="shared" si="37"/>
        <v>82.000000000000028</v>
      </c>
      <c r="W58" s="16"/>
      <c r="X58" s="16"/>
      <c r="Y58" s="19"/>
      <c r="Z58" s="19"/>
      <c r="AA58" s="612"/>
      <c r="AB58" s="612"/>
      <c r="AC58" s="18"/>
      <c r="AD58" s="18"/>
      <c r="AE58" s="14">
        <f t="shared" si="8"/>
        <v>-90.243902439025078</v>
      </c>
      <c r="AF58" s="277">
        <f t="shared" si="9"/>
        <v>0.95487804878048743</v>
      </c>
      <c r="AG58" s="616"/>
    </row>
    <row r="59" spans="1:33" ht="15.75" customHeight="1">
      <c r="A59" s="621" t="s">
        <v>1417</v>
      </c>
      <c r="B59" s="27" t="s">
        <v>5</v>
      </c>
      <c r="C59" s="605" t="s">
        <v>77</v>
      </c>
      <c r="D59" s="606"/>
      <c r="E59" s="27">
        <v>54.09</v>
      </c>
      <c r="F59" s="30">
        <v>1506</v>
      </c>
      <c r="G59" s="278">
        <f t="shared" si="35"/>
        <v>81459.540000000008</v>
      </c>
      <c r="H59" s="31" t="s">
        <v>40</v>
      </c>
      <c r="I59" s="282">
        <v>13</v>
      </c>
      <c r="J59" s="29">
        <v>2000</v>
      </c>
      <c r="K59" s="12">
        <f t="shared" si="1"/>
        <v>153.84615384615384</v>
      </c>
      <c r="L59" s="282">
        <v>13</v>
      </c>
      <c r="M59" s="13">
        <f t="shared" si="39"/>
        <v>1922.553191489362</v>
      </c>
      <c r="N59" s="13">
        <f t="shared" si="3"/>
        <v>147.88870703764323</v>
      </c>
      <c r="O59" s="14">
        <f t="shared" si="4"/>
        <v>0</v>
      </c>
      <c r="P59" s="15">
        <f t="shared" si="5"/>
        <v>-5.9574468085106105</v>
      </c>
      <c r="Q59" s="277">
        <f t="shared" si="6"/>
        <v>0.96127659574468105</v>
      </c>
      <c r="R59" s="616"/>
      <c r="S59" s="32">
        <v>0.70833333333333337</v>
      </c>
      <c r="T59" s="32">
        <v>0.74097222222222225</v>
      </c>
      <c r="U59" s="278" t="str">
        <f t="shared" si="38"/>
        <v/>
      </c>
      <c r="V59" s="283">
        <f t="shared" si="37"/>
        <v>46.999999999999993</v>
      </c>
      <c r="W59" s="16"/>
      <c r="X59" s="16"/>
      <c r="Y59" s="19"/>
      <c r="Z59" s="19"/>
      <c r="AA59" s="607"/>
      <c r="AB59" s="608"/>
      <c r="AC59" s="18"/>
      <c r="AD59" s="18"/>
      <c r="AE59" s="14">
        <f t="shared" si="8"/>
        <v>-77.446808510637993</v>
      </c>
      <c r="AF59" s="277">
        <f t="shared" si="9"/>
        <v>0.96127659574468105</v>
      </c>
      <c r="AG59" s="616"/>
    </row>
    <row r="60" spans="1:33" ht="15.75" customHeight="1">
      <c r="A60" s="621" t="s">
        <v>1417</v>
      </c>
      <c r="B60" s="27" t="s">
        <v>5</v>
      </c>
      <c r="C60" s="605" t="s">
        <v>62</v>
      </c>
      <c r="D60" s="606"/>
      <c r="E60" s="27">
        <v>51.06</v>
      </c>
      <c r="F60" s="30">
        <v>1000</v>
      </c>
      <c r="G60" s="278">
        <f t="shared" si="35"/>
        <v>51060</v>
      </c>
      <c r="H60" s="31">
        <v>2</v>
      </c>
      <c r="I60" s="282">
        <v>13</v>
      </c>
      <c r="J60" s="29">
        <v>2000</v>
      </c>
      <c r="K60" s="12">
        <f t="shared" si="1"/>
        <v>153.84615384615384</v>
      </c>
      <c r="L60" s="282">
        <v>13</v>
      </c>
      <c r="M60" s="13">
        <f t="shared" si="39"/>
        <v>1935.483870967739</v>
      </c>
      <c r="N60" s="13">
        <f t="shared" si="3"/>
        <v>148.88337468982607</v>
      </c>
      <c r="O60" s="14">
        <f t="shared" si="4"/>
        <v>0</v>
      </c>
      <c r="P60" s="15">
        <f t="shared" si="5"/>
        <v>-4.9627791563277697</v>
      </c>
      <c r="Q60" s="277">
        <f t="shared" si="6"/>
        <v>0.96774193548386944</v>
      </c>
      <c r="R60" s="616"/>
      <c r="S60" s="32">
        <v>0.74583333333333335</v>
      </c>
      <c r="T60" s="32">
        <v>0.76736111111111116</v>
      </c>
      <c r="U60" s="278">
        <f t="shared" si="38"/>
        <v>6.9999999999999751</v>
      </c>
      <c r="V60" s="283">
        <f t="shared" si="37"/>
        <v>31.00000000000005</v>
      </c>
      <c r="W60" s="16"/>
      <c r="X60" s="16"/>
      <c r="Y60" s="19"/>
      <c r="Z60" s="19"/>
      <c r="AA60" s="607"/>
      <c r="AB60" s="608"/>
      <c r="AC60" s="18"/>
      <c r="AD60" s="18"/>
      <c r="AE60" s="14">
        <f t="shared" si="8"/>
        <v>-64.516129032261006</v>
      </c>
      <c r="AF60" s="277">
        <f t="shared" si="9"/>
        <v>0.96774193548386944</v>
      </c>
      <c r="AG60" s="616"/>
    </row>
    <row r="61" spans="1:33" ht="15.75" customHeight="1">
      <c r="A61" s="621" t="s">
        <v>1417</v>
      </c>
      <c r="B61" s="27" t="s">
        <v>5</v>
      </c>
      <c r="C61" s="605" t="s">
        <v>7</v>
      </c>
      <c r="D61" s="606"/>
      <c r="E61" s="27">
        <v>50.67</v>
      </c>
      <c r="F61" s="30">
        <v>1652</v>
      </c>
      <c r="G61" s="278">
        <f t="shared" si="35"/>
        <v>83706.84</v>
      </c>
      <c r="H61" s="31" t="s">
        <v>40</v>
      </c>
      <c r="I61" s="282">
        <v>15</v>
      </c>
      <c r="J61" s="29">
        <v>2000</v>
      </c>
      <c r="K61" s="12">
        <f t="shared" si="1"/>
        <v>133.33333333333334</v>
      </c>
      <c r="L61" s="282">
        <v>15</v>
      </c>
      <c r="M61" s="13">
        <f t="shared" si="39"/>
        <v>1906.1538461538473</v>
      </c>
      <c r="N61" s="13">
        <f t="shared" si="3"/>
        <v>127.07692307692315</v>
      </c>
      <c r="O61" s="14">
        <f t="shared" si="4"/>
        <v>0</v>
      </c>
      <c r="P61" s="15">
        <f t="shared" si="5"/>
        <v>-6.2564102564101916</v>
      </c>
      <c r="Q61" s="277">
        <f t="shared" si="6"/>
        <v>0.9530769230769236</v>
      </c>
      <c r="R61" s="616"/>
      <c r="S61" s="32">
        <v>0.77152777777777781</v>
      </c>
      <c r="T61" s="32">
        <v>0.80763888888888891</v>
      </c>
      <c r="U61" s="278">
        <f t="shared" si="38"/>
        <v>5.9999999999999787</v>
      </c>
      <c r="V61" s="283">
        <f t="shared" si="37"/>
        <v>51.999999999999972</v>
      </c>
      <c r="W61" s="16">
        <f>T61</f>
        <v>0.80763888888888891</v>
      </c>
      <c r="X61" s="16">
        <f>S62</f>
        <v>0.84652777777777777</v>
      </c>
      <c r="Y61" s="19"/>
      <c r="Z61" s="19"/>
      <c r="AA61" s="607"/>
      <c r="AB61" s="608"/>
      <c r="AC61" s="18"/>
      <c r="AD61" s="18"/>
      <c r="AE61" s="14">
        <f t="shared" si="8"/>
        <v>-93.846153846152674</v>
      </c>
      <c r="AF61" s="277">
        <f t="shared" si="9"/>
        <v>0.95307692307692371</v>
      </c>
      <c r="AG61" s="616"/>
    </row>
    <row r="62" spans="1:33">
      <c r="A62" s="621" t="s">
        <v>1417</v>
      </c>
      <c r="B62" s="27" t="s">
        <v>5</v>
      </c>
      <c r="C62" s="271" t="s">
        <v>62</v>
      </c>
      <c r="D62" s="272"/>
      <c r="E62" s="27">
        <v>51.06</v>
      </c>
      <c r="F62" s="30">
        <v>2485</v>
      </c>
      <c r="G62" s="278">
        <f t="shared" si="35"/>
        <v>126884.1</v>
      </c>
      <c r="H62" s="31" t="s">
        <v>40</v>
      </c>
      <c r="I62" s="282">
        <v>13</v>
      </c>
      <c r="J62" s="29">
        <v>2000</v>
      </c>
      <c r="K62" s="12">
        <f t="shared" si="1"/>
        <v>153.84615384615384</v>
      </c>
      <c r="L62" s="282">
        <v>13</v>
      </c>
      <c r="M62" s="13">
        <f t="shared" si="39"/>
        <v>1911.5384615384603</v>
      </c>
      <c r="N62" s="13">
        <f t="shared" si="3"/>
        <v>147.0414201183431</v>
      </c>
      <c r="O62" s="14">
        <f t="shared" si="4"/>
        <v>0</v>
      </c>
      <c r="P62" s="15">
        <f t="shared" si="5"/>
        <v>-6.804733727810742</v>
      </c>
      <c r="Q62" s="277">
        <f t="shared" si="6"/>
        <v>0.95576923076923015</v>
      </c>
      <c r="R62" s="616"/>
      <c r="S62" s="32">
        <v>0.84652777777777777</v>
      </c>
      <c r="T62" s="32">
        <v>0.90069444444444446</v>
      </c>
      <c r="U62" s="278">
        <f t="shared" si="38"/>
        <v>55.999999999999957</v>
      </c>
      <c r="V62" s="283">
        <f t="shared" si="37"/>
        <v>78.000000000000043</v>
      </c>
      <c r="W62" s="16"/>
      <c r="X62" s="16"/>
      <c r="Y62" s="19"/>
      <c r="Z62" s="19"/>
      <c r="AA62" s="273"/>
      <c r="AB62" s="274"/>
      <c r="AC62" s="18"/>
      <c r="AD62" s="18"/>
      <c r="AE62" s="14">
        <f t="shared" si="8"/>
        <v>-88.461538461539703</v>
      </c>
      <c r="AF62" s="277">
        <f t="shared" si="9"/>
        <v>0.95576923076923015</v>
      </c>
      <c r="AG62" s="616"/>
    </row>
    <row r="63" spans="1:33">
      <c r="A63" s="622" t="s">
        <v>1417</v>
      </c>
      <c r="B63" s="27" t="s">
        <v>1410</v>
      </c>
      <c r="C63" s="658"/>
      <c r="D63" s="658"/>
      <c r="E63" s="279"/>
      <c r="F63" s="28"/>
      <c r="G63" s="12"/>
      <c r="H63" s="285"/>
      <c r="I63" s="21">
        <v>17</v>
      </c>
      <c r="J63" s="29">
        <v>2000</v>
      </c>
      <c r="K63" s="12">
        <f t="shared" si="1"/>
        <v>117.64705882352941</v>
      </c>
      <c r="L63" s="21">
        <v>17</v>
      </c>
      <c r="M63" s="13">
        <f>AVERAGE(M54:M62)</f>
        <v>1918.62796057114</v>
      </c>
      <c r="N63" s="12">
        <f t="shared" si="3"/>
        <v>112.86046826889059</v>
      </c>
      <c r="O63" s="14">
        <f t="shared" si="4"/>
        <v>0</v>
      </c>
      <c r="P63" s="15">
        <f t="shared" si="5"/>
        <v>-4.7865905546388205</v>
      </c>
      <c r="Q63" s="277">
        <f t="shared" si="6"/>
        <v>0.95931398028557002</v>
      </c>
      <c r="R63" s="616"/>
      <c r="S63" s="32"/>
      <c r="T63" s="32"/>
      <c r="U63" s="278"/>
      <c r="V63" s="283"/>
      <c r="W63" s="12"/>
      <c r="X63" s="12"/>
      <c r="Y63" s="22">
        <f>SUM(Y54:Y62)</f>
        <v>0</v>
      </c>
      <c r="Z63" s="22">
        <f>SUM(Z54:Z62)</f>
        <v>0</v>
      </c>
      <c r="AA63" s="611"/>
      <c r="AB63" s="611"/>
      <c r="AC63" s="22">
        <v>9</v>
      </c>
      <c r="AD63" s="22">
        <f>SUM(AD54:AD62)</f>
        <v>0</v>
      </c>
      <c r="AE63" s="14">
        <f>M63-J63</f>
        <v>-81.372039428860035</v>
      </c>
      <c r="AF63" s="277">
        <f t="shared" si="9"/>
        <v>0.95931398028557002</v>
      </c>
      <c r="AG63" s="616"/>
    </row>
    <row r="64" spans="1:33" ht="15.75" customHeight="1">
      <c r="A64" s="617" t="s">
        <v>1418</v>
      </c>
      <c r="B64" s="285" t="s">
        <v>27</v>
      </c>
      <c r="C64" s="660" t="s">
        <v>28</v>
      </c>
      <c r="D64" s="660"/>
      <c r="E64" s="27">
        <v>35.119999999999997</v>
      </c>
      <c r="F64" s="30">
        <v>5086</v>
      </c>
      <c r="G64" s="278">
        <f t="shared" ref="G64:G67" si="40">E64*F64</f>
        <v>178620.31999999998</v>
      </c>
      <c r="H64" s="31" t="s">
        <v>40</v>
      </c>
      <c r="I64" s="282">
        <v>10</v>
      </c>
      <c r="J64" s="29">
        <v>3000</v>
      </c>
      <c r="K64" s="12">
        <f t="shared" si="1"/>
        <v>300</v>
      </c>
      <c r="L64" s="282">
        <v>10</v>
      </c>
      <c r="M64" s="13">
        <f t="shared" ref="M64:M67" si="41">F64/V64*60</f>
        <v>2878.8679245283024</v>
      </c>
      <c r="N64" s="12">
        <f t="shared" si="3"/>
        <v>287.88679245283026</v>
      </c>
      <c r="O64" s="14">
        <f t="shared" si="4"/>
        <v>0</v>
      </c>
      <c r="P64" s="15">
        <f t="shared" si="5"/>
        <v>-12.113207547169736</v>
      </c>
      <c r="Q64" s="277">
        <f t="shared" si="6"/>
        <v>0.95962264150943422</v>
      </c>
      <c r="R64" s="616">
        <f>Q68</f>
        <v>0.96331150453320313</v>
      </c>
      <c r="S64" s="32">
        <v>0.20833333333333334</v>
      </c>
      <c r="T64" s="32">
        <v>0.28194444444444444</v>
      </c>
      <c r="U64" s="278"/>
      <c r="V64" s="283">
        <f t="shared" ref="V64:V67" si="42">(T64-S64)*24*60</f>
        <v>105.99999999999999</v>
      </c>
      <c r="W64" s="16"/>
      <c r="X64" s="16"/>
      <c r="Y64" s="20"/>
      <c r="Z64" s="20"/>
      <c r="AA64" s="612"/>
      <c r="AB64" s="612"/>
      <c r="AC64" s="18">
        <v>4</v>
      </c>
      <c r="AD64" s="18"/>
      <c r="AE64" s="14">
        <f t="shared" ref="AE64:AE77" si="43">M64-J64</f>
        <v>-121.13207547169759</v>
      </c>
      <c r="AF64" s="277">
        <f t="shared" si="9"/>
        <v>0.9596226415094341</v>
      </c>
      <c r="AG64" s="616">
        <f>AF68</f>
        <v>0.96331150453320302</v>
      </c>
    </row>
    <row r="65" spans="1:33" ht="15.75" customHeight="1">
      <c r="A65" s="617" t="s">
        <v>1418</v>
      </c>
      <c r="B65" s="285" t="s">
        <v>27</v>
      </c>
      <c r="C65" s="660" t="s">
        <v>34</v>
      </c>
      <c r="D65" s="660"/>
      <c r="E65" s="27">
        <v>26.78</v>
      </c>
      <c r="F65" s="30">
        <v>2648</v>
      </c>
      <c r="G65" s="278">
        <f t="shared" si="40"/>
        <v>70913.440000000002</v>
      </c>
      <c r="H65" s="31" t="s">
        <v>40</v>
      </c>
      <c r="I65" s="282">
        <v>10</v>
      </c>
      <c r="J65" s="29">
        <v>3000</v>
      </c>
      <c r="K65" s="12">
        <f t="shared" si="1"/>
        <v>300</v>
      </c>
      <c r="L65" s="282">
        <v>10</v>
      </c>
      <c r="M65" s="13">
        <f t="shared" si="41"/>
        <v>2888.7272727272748</v>
      </c>
      <c r="N65" s="12">
        <f t="shared" si="3"/>
        <v>288.8727272727275</v>
      </c>
      <c r="O65" s="14">
        <f t="shared" si="4"/>
        <v>0</v>
      </c>
      <c r="P65" s="15">
        <f t="shared" si="5"/>
        <v>-11.127272727272498</v>
      </c>
      <c r="Q65" s="277">
        <f t="shared" si="6"/>
        <v>0.96290909090909171</v>
      </c>
      <c r="R65" s="616"/>
      <c r="S65" s="32">
        <v>0.28541666666666665</v>
      </c>
      <c r="T65" s="32">
        <v>0.32361111111111107</v>
      </c>
      <c r="U65" s="278">
        <f t="shared" ref="U65:U67" si="44">(S65-T64)*24*60</f>
        <v>4.9999999999999822</v>
      </c>
      <c r="V65" s="283">
        <f t="shared" si="42"/>
        <v>54.999999999999964</v>
      </c>
      <c r="W65" s="278"/>
      <c r="X65" s="278"/>
      <c r="Y65" s="278"/>
      <c r="Z65" s="278"/>
      <c r="AA65" s="612"/>
      <c r="AB65" s="612"/>
      <c r="AC65" s="18"/>
      <c r="AD65" s="18"/>
      <c r="AE65" s="14">
        <f t="shared" si="43"/>
        <v>-111.27272727272521</v>
      </c>
      <c r="AF65" s="277">
        <f t="shared" si="9"/>
        <v>0.9629090909090916</v>
      </c>
      <c r="AG65" s="616"/>
    </row>
    <row r="66" spans="1:33" ht="15.75" customHeight="1">
      <c r="A66" s="617" t="s">
        <v>1418</v>
      </c>
      <c r="B66" s="285" t="s">
        <v>27</v>
      </c>
      <c r="C66" s="660" t="s">
        <v>36</v>
      </c>
      <c r="D66" s="660"/>
      <c r="E66" s="27">
        <v>34.35</v>
      </c>
      <c r="F66" s="30">
        <v>1345</v>
      </c>
      <c r="G66" s="278">
        <f t="shared" si="40"/>
        <v>46200.75</v>
      </c>
      <c r="H66" s="31" t="s">
        <v>40</v>
      </c>
      <c r="I66" s="282">
        <v>8</v>
      </c>
      <c r="J66" s="29">
        <v>3000</v>
      </c>
      <c r="K66" s="12">
        <f t="shared" si="1"/>
        <v>375</v>
      </c>
      <c r="L66" s="282">
        <v>8</v>
      </c>
      <c r="M66" s="13">
        <f t="shared" si="41"/>
        <v>2882.1428571428592</v>
      </c>
      <c r="N66" s="12">
        <f t="shared" si="3"/>
        <v>360.26785714285739</v>
      </c>
      <c r="O66" s="14">
        <f t="shared" si="4"/>
        <v>0</v>
      </c>
      <c r="P66" s="15">
        <f t="shared" si="5"/>
        <v>-14.732142857142605</v>
      </c>
      <c r="Q66" s="277">
        <f t="shared" si="6"/>
        <v>0.96071428571428641</v>
      </c>
      <c r="R66" s="616"/>
      <c r="S66" s="32">
        <v>0.32847222222222217</v>
      </c>
      <c r="T66" s="32">
        <v>0.3479166666666666</v>
      </c>
      <c r="U66" s="278">
        <f t="shared" si="44"/>
        <v>6.9999999999999751</v>
      </c>
      <c r="V66" s="283">
        <f t="shared" si="42"/>
        <v>27.999999999999979</v>
      </c>
      <c r="W66" s="278"/>
      <c r="X66" s="278"/>
      <c r="Y66" s="278"/>
      <c r="Z66" s="278"/>
      <c r="AA66" s="612"/>
      <c r="AB66" s="612"/>
      <c r="AC66" s="18"/>
      <c r="AD66" s="18"/>
      <c r="AE66" s="14">
        <f t="shared" si="43"/>
        <v>-117.85714285714084</v>
      </c>
      <c r="AF66" s="277">
        <f t="shared" si="9"/>
        <v>0.96071428571428641</v>
      </c>
      <c r="AG66" s="616"/>
    </row>
    <row r="67" spans="1:33" ht="15.75" customHeight="1">
      <c r="A67" s="617" t="s">
        <v>1418</v>
      </c>
      <c r="B67" s="285" t="s">
        <v>27</v>
      </c>
      <c r="C67" s="660" t="s">
        <v>737</v>
      </c>
      <c r="D67" s="660"/>
      <c r="E67" s="27">
        <v>36.14</v>
      </c>
      <c r="F67" s="30">
        <v>2134</v>
      </c>
      <c r="G67" s="278">
        <f t="shared" si="40"/>
        <v>77122.759999999995</v>
      </c>
      <c r="H67" s="31" t="s">
        <v>40</v>
      </c>
      <c r="I67" s="282">
        <v>11</v>
      </c>
      <c r="J67" s="29">
        <v>3000</v>
      </c>
      <c r="K67" s="12">
        <f t="shared" si="1"/>
        <v>272.72727272727275</v>
      </c>
      <c r="L67" s="282">
        <v>11</v>
      </c>
      <c r="M67" s="13">
        <f t="shared" si="41"/>
        <v>2910</v>
      </c>
      <c r="N67" s="12">
        <f t="shared" si="3"/>
        <v>264.54545454545456</v>
      </c>
      <c r="O67" s="14">
        <f t="shared" si="4"/>
        <v>0</v>
      </c>
      <c r="P67" s="15">
        <f t="shared" si="5"/>
        <v>-8.181818181818187</v>
      </c>
      <c r="Q67" s="277">
        <f t="shared" si="6"/>
        <v>0.97</v>
      </c>
      <c r="R67" s="616"/>
      <c r="S67" s="32">
        <v>0.35277777777777769</v>
      </c>
      <c r="T67" s="32">
        <v>0.38333333333333325</v>
      </c>
      <c r="U67" s="278">
        <f t="shared" si="44"/>
        <v>6.9999999999999751</v>
      </c>
      <c r="V67" s="283">
        <f t="shared" si="42"/>
        <v>44</v>
      </c>
      <c r="W67" s="278"/>
      <c r="X67" s="278"/>
      <c r="Y67" s="278"/>
      <c r="Z67" s="278"/>
      <c r="AA67" s="612"/>
      <c r="AB67" s="612"/>
      <c r="AC67" s="18"/>
      <c r="AD67" s="18"/>
      <c r="AE67" s="14">
        <f t="shared" si="43"/>
        <v>-90</v>
      </c>
      <c r="AF67" s="277">
        <f t="shared" si="9"/>
        <v>0.97</v>
      </c>
      <c r="AG67" s="616"/>
    </row>
    <row r="68" spans="1:33">
      <c r="A68" s="618" t="s">
        <v>1418</v>
      </c>
      <c r="B68" s="27" t="s">
        <v>1410</v>
      </c>
      <c r="C68" s="658"/>
      <c r="D68" s="658"/>
      <c r="E68" s="279"/>
      <c r="F68" s="28"/>
      <c r="G68" s="12"/>
      <c r="H68" s="285"/>
      <c r="I68" s="21">
        <v>9.75</v>
      </c>
      <c r="J68" s="29">
        <v>3000</v>
      </c>
      <c r="K68" s="12">
        <f t="shared" si="1"/>
        <v>307.69230769230768</v>
      </c>
      <c r="L68" s="21">
        <v>9.75</v>
      </c>
      <c r="M68" s="13">
        <f>AVERAGE(M64:M67)</f>
        <v>2889.9345135996091</v>
      </c>
      <c r="N68" s="12">
        <f t="shared" si="3"/>
        <v>296.40353985637017</v>
      </c>
      <c r="O68" s="14">
        <f t="shared" si="4"/>
        <v>0</v>
      </c>
      <c r="P68" s="15">
        <f t="shared" si="5"/>
        <v>-11.288767835937506</v>
      </c>
      <c r="Q68" s="277">
        <f t="shared" si="6"/>
        <v>0.96331150453320313</v>
      </c>
      <c r="R68" s="616"/>
      <c r="S68" s="32"/>
      <c r="T68" s="32"/>
      <c r="U68" s="12"/>
      <c r="V68" s="283"/>
      <c r="W68" s="12"/>
      <c r="X68" s="12"/>
      <c r="Y68" s="22">
        <f>SUM(Y64:Y67)</f>
        <v>0</v>
      </c>
      <c r="Z68" s="22">
        <f>SUM(Z64:Z67)</f>
        <v>0</v>
      </c>
      <c r="AA68" s="611"/>
      <c r="AB68" s="611"/>
      <c r="AC68" s="22">
        <v>4</v>
      </c>
      <c r="AD68" s="22">
        <f>SUM(AD64:AD67)</f>
        <v>0</v>
      </c>
      <c r="AE68" s="14">
        <f t="shared" si="43"/>
        <v>-110.06548640039091</v>
      </c>
      <c r="AF68" s="277">
        <f t="shared" si="9"/>
        <v>0.96331150453320302</v>
      </c>
      <c r="AG68" s="616"/>
    </row>
    <row r="69" spans="1:33" ht="15.75" customHeight="1">
      <c r="A69" s="613" t="s">
        <v>1419</v>
      </c>
      <c r="B69" s="285" t="s">
        <v>20</v>
      </c>
      <c r="C69" s="660" t="s">
        <v>39</v>
      </c>
      <c r="D69" s="660"/>
      <c r="E69" s="27">
        <v>19.02</v>
      </c>
      <c r="F69" s="285">
        <v>6000</v>
      </c>
      <c r="G69" s="278">
        <f t="shared" ref="G69:G76" si="45">E69*F69</f>
        <v>114120</v>
      </c>
      <c r="H69" s="31">
        <v>2</v>
      </c>
      <c r="I69" s="282">
        <v>14</v>
      </c>
      <c r="J69" s="29">
        <v>2400</v>
      </c>
      <c r="K69" s="12">
        <f t="shared" ref="K69:K77" si="46">J69/I69</f>
        <v>171.42857142857142</v>
      </c>
      <c r="L69" s="282">
        <v>14</v>
      </c>
      <c r="M69" s="13">
        <f t="shared" ref="M69:M76" si="47">F69/V69*60</f>
        <v>2292.993630573249</v>
      </c>
      <c r="N69" s="12">
        <f t="shared" ref="N69:N77" si="48">M69/L69</f>
        <v>163.78525932666065</v>
      </c>
      <c r="O69" s="14">
        <f t="shared" ref="O69:O77" si="49">L69-I69</f>
        <v>0</v>
      </c>
      <c r="P69" s="15">
        <f t="shared" ref="P69:P77" si="50">N69-K69</f>
        <v>-7.6433121019107659</v>
      </c>
      <c r="Q69" s="277">
        <f t="shared" ref="Q69:Q77" si="51">N69/K69</f>
        <v>0.95541401273885385</v>
      </c>
      <c r="R69" s="616">
        <f>Q77</f>
        <v>0.95738081313992673</v>
      </c>
      <c r="S69" s="32">
        <v>8.3333333333333329E-2</v>
      </c>
      <c r="T69" s="32">
        <v>0.19236111111111109</v>
      </c>
      <c r="U69" s="20"/>
      <c r="V69" s="283">
        <f t="shared" ref="V69:V76" si="52">(T69-S69)*24*60</f>
        <v>156.99999999999997</v>
      </c>
      <c r="W69" s="16">
        <f>T69</f>
        <v>0.19236111111111109</v>
      </c>
      <c r="X69" s="16">
        <f>S70</f>
        <v>0.21111111111111108</v>
      </c>
      <c r="Y69" s="16"/>
      <c r="Z69" s="16"/>
      <c r="AA69" s="612"/>
      <c r="AB69" s="612"/>
      <c r="AC69" s="18">
        <v>8</v>
      </c>
      <c r="AD69" s="18"/>
      <c r="AE69" s="14">
        <f t="shared" si="43"/>
        <v>-107.00636942675101</v>
      </c>
      <c r="AF69" s="277">
        <f t="shared" ref="AF69:AF77" si="53">M69/J69</f>
        <v>0.95541401273885374</v>
      </c>
      <c r="AG69" s="616">
        <f>AF77</f>
        <v>0.95738081313992662</v>
      </c>
    </row>
    <row r="70" spans="1:33" ht="15.75" customHeight="1">
      <c r="A70" s="614" t="s">
        <v>1419</v>
      </c>
      <c r="B70" s="285" t="s">
        <v>20</v>
      </c>
      <c r="C70" s="660" t="s">
        <v>24</v>
      </c>
      <c r="D70" s="660"/>
      <c r="E70" s="27">
        <v>20.36</v>
      </c>
      <c r="F70" s="285">
        <v>2400</v>
      </c>
      <c r="G70" s="278">
        <f t="shared" si="45"/>
        <v>48864</v>
      </c>
      <c r="H70" s="31">
        <v>2</v>
      </c>
      <c r="I70" s="282">
        <v>17</v>
      </c>
      <c r="J70" s="29">
        <v>2400</v>
      </c>
      <c r="K70" s="12">
        <f t="shared" si="46"/>
        <v>141.1764705882353</v>
      </c>
      <c r="L70" s="282">
        <v>17</v>
      </c>
      <c r="M70" s="13">
        <f t="shared" si="47"/>
        <v>2285.7142857142853</v>
      </c>
      <c r="N70" s="12">
        <f t="shared" si="48"/>
        <v>134.45378151260502</v>
      </c>
      <c r="O70" s="14">
        <f t="shared" si="49"/>
        <v>0</v>
      </c>
      <c r="P70" s="15">
        <f t="shared" si="50"/>
        <v>-6.7226890756302851</v>
      </c>
      <c r="Q70" s="277">
        <f t="shared" si="51"/>
        <v>0.95238095238095211</v>
      </c>
      <c r="R70" s="616"/>
      <c r="S70" s="32">
        <v>0.21111111111111108</v>
      </c>
      <c r="T70" s="32">
        <v>0.25486111111111109</v>
      </c>
      <c r="U70" s="278">
        <f t="shared" ref="U70:U76" si="54">(S70-T69)*24*60</f>
        <v>26.999999999999986</v>
      </c>
      <c r="V70" s="283">
        <f t="shared" si="52"/>
        <v>63.000000000000014</v>
      </c>
      <c r="W70" s="16"/>
      <c r="X70" s="16"/>
      <c r="Y70" s="16"/>
      <c r="Z70" s="16"/>
      <c r="AA70" s="612"/>
      <c r="AB70" s="612"/>
      <c r="AC70" s="18"/>
      <c r="AD70" s="18"/>
      <c r="AE70" s="14">
        <f t="shared" si="43"/>
        <v>-114.28571428571468</v>
      </c>
      <c r="AF70" s="277">
        <f t="shared" si="53"/>
        <v>0.95238095238095222</v>
      </c>
      <c r="AG70" s="616"/>
    </row>
    <row r="71" spans="1:33" ht="15.75" customHeight="1">
      <c r="A71" s="614" t="s">
        <v>1419</v>
      </c>
      <c r="B71" s="285" t="s">
        <v>20</v>
      </c>
      <c r="C71" s="660" t="s">
        <v>80</v>
      </c>
      <c r="D71" s="660"/>
      <c r="E71" s="27">
        <v>25.98</v>
      </c>
      <c r="F71" s="285">
        <v>3838</v>
      </c>
      <c r="G71" s="278">
        <f t="shared" si="45"/>
        <v>99711.24</v>
      </c>
      <c r="H71" s="31" t="s">
        <v>40</v>
      </c>
      <c r="I71" s="282">
        <v>17</v>
      </c>
      <c r="J71" s="29">
        <v>2400</v>
      </c>
      <c r="K71" s="12">
        <f t="shared" si="46"/>
        <v>141.1764705882353</v>
      </c>
      <c r="L71" s="282">
        <v>17</v>
      </c>
      <c r="M71" s="13">
        <f t="shared" si="47"/>
        <v>2302.8000000000006</v>
      </c>
      <c r="N71" s="12">
        <f t="shared" si="48"/>
        <v>135.4588235294118</v>
      </c>
      <c r="O71" s="14">
        <f t="shared" si="49"/>
        <v>0</v>
      </c>
      <c r="P71" s="15">
        <f t="shared" si="50"/>
        <v>-5.717647058823502</v>
      </c>
      <c r="Q71" s="277">
        <f t="shared" si="51"/>
        <v>0.95950000000000024</v>
      </c>
      <c r="R71" s="616"/>
      <c r="S71" s="32">
        <v>0.25972222222222219</v>
      </c>
      <c r="T71" s="32">
        <v>0.32916666666666661</v>
      </c>
      <c r="U71" s="278">
        <f t="shared" si="54"/>
        <v>6.9999999999999751</v>
      </c>
      <c r="V71" s="283">
        <f t="shared" si="52"/>
        <v>99.999999999999972</v>
      </c>
      <c r="W71" s="16"/>
      <c r="X71" s="16"/>
      <c r="Y71" s="16"/>
      <c r="Z71" s="16"/>
      <c r="AA71" s="612"/>
      <c r="AB71" s="612"/>
      <c r="AC71" s="18"/>
      <c r="AD71" s="18"/>
      <c r="AE71" s="14">
        <f t="shared" si="43"/>
        <v>-97.199999999999363</v>
      </c>
      <c r="AF71" s="277">
        <f t="shared" si="53"/>
        <v>0.95950000000000024</v>
      </c>
      <c r="AG71" s="616"/>
    </row>
    <row r="72" spans="1:33" ht="15.75" customHeight="1">
      <c r="A72" s="614" t="s">
        <v>1419</v>
      </c>
      <c r="B72" s="285" t="s">
        <v>20</v>
      </c>
      <c r="C72" s="660" t="s">
        <v>739</v>
      </c>
      <c r="D72" s="660"/>
      <c r="E72" s="27">
        <v>28.29</v>
      </c>
      <c r="F72" s="285">
        <v>4371</v>
      </c>
      <c r="G72" s="278">
        <f t="shared" si="45"/>
        <v>123655.59</v>
      </c>
      <c r="H72" s="31" t="s">
        <v>40</v>
      </c>
      <c r="I72" s="282">
        <v>21</v>
      </c>
      <c r="J72" s="29">
        <v>2400</v>
      </c>
      <c r="K72" s="12">
        <f t="shared" si="46"/>
        <v>114.28571428571429</v>
      </c>
      <c r="L72" s="282">
        <v>21</v>
      </c>
      <c r="M72" s="13">
        <f t="shared" si="47"/>
        <v>2300.5263157894738</v>
      </c>
      <c r="N72" s="12">
        <f t="shared" si="48"/>
        <v>109.54887218045113</v>
      </c>
      <c r="O72" s="14">
        <f t="shared" si="49"/>
        <v>0</v>
      </c>
      <c r="P72" s="15">
        <f t="shared" si="50"/>
        <v>-4.7368421052631646</v>
      </c>
      <c r="Q72" s="277">
        <f t="shared" si="51"/>
        <v>0.95855263157894732</v>
      </c>
      <c r="R72" s="616"/>
      <c r="S72" s="32">
        <v>0.33472222222222214</v>
      </c>
      <c r="T72" s="32">
        <v>0.41388888888888881</v>
      </c>
      <c r="U72" s="278">
        <f t="shared" si="54"/>
        <v>7.9999999999999716</v>
      </c>
      <c r="V72" s="283">
        <f t="shared" si="52"/>
        <v>114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-99.473684210526244</v>
      </c>
      <c r="AF72" s="277">
        <f t="shared" si="53"/>
        <v>0.95855263157894743</v>
      </c>
      <c r="AG72" s="616"/>
    </row>
    <row r="73" spans="1:33" ht="15.75" customHeight="1">
      <c r="A73" s="614" t="s">
        <v>1419</v>
      </c>
      <c r="B73" s="285" t="s">
        <v>20</v>
      </c>
      <c r="C73" s="660" t="s">
        <v>1420</v>
      </c>
      <c r="D73" s="660"/>
      <c r="E73" s="27">
        <v>24.25</v>
      </c>
      <c r="F73" s="285">
        <v>5700</v>
      </c>
      <c r="G73" s="278">
        <f t="shared" si="45"/>
        <v>138225</v>
      </c>
      <c r="H73" s="31">
        <v>2</v>
      </c>
      <c r="I73" s="282">
        <v>17</v>
      </c>
      <c r="J73" s="29">
        <v>2400</v>
      </c>
      <c r="K73" s="12">
        <f t="shared" si="46"/>
        <v>141.1764705882353</v>
      </c>
      <c r="L73" s="282">
        <v>17</v>
      </c>
      <c r="M73" s="13">
        <f t="shared" si="47"/>
        <v>2295.3020134228182</v>
      </c>
      <c r="N73" s="12">
        <f t="shared" si="48"/>
        <v>135.01776549545988</v>
      </c>
      <c r="O73" s="14">
        <f t="shared" si="49"/>
        <v>0</v>
      </c>
      <c r="P73" s="15">
        <f t="shared" si="50"/>
        <v>-6.1587050927754206</v>
      </c>
      <c r="Q73" s="277">
        <f t="shared" si="51"/>
        <v>0.95637583892617406</v>
      </c>
      <c r="R73" s="616"/>
      <c r="S73" s="32">
        <v>0.41736111111111102</v>
      </c>
      <c r="T73" s="32">
        <v>0.52083333333333326</v>
      </c>
      <c r="U73" s="278">
        <f t="shared" si="54"/>
        <v>4.9999999999999822</v>
      </c>
      <c r="V73" s="283">
        <f t="shared" si="52"/>
        <v>149.00000000000003</v>
      </c>
      <c r="W73" s="16">
        <f>T73</f>
        <v>0.52083333333333326</v>
      </c>
      <c r="X73" s="16">
        <f>S74</f>
        <v>0.56041666666666656</v>
      </c>
      <c r="Y73" s="16"/>
      <c r="Z73" s="16"/>
      <c r="AA73" s="612"/>
      <c r="AB73" s="612"/>
      <c r="AC73" s="18"/>
      <c r="AD73" s="18"/>
      <c r="AE73" s="14">
        <f t="shared" si="43"/>
        <v>-104.69798657718184</v>
      </c>
      <c r="AF73" s="277">
        <f t="shared" si="53"/>
        <v>0.95637583892617428</v>
      </c>
      <c r="AG73" s="616"/>
    </row>
    <row r="74" spans="1:33" ht="15.75" customHeight="1">
      <c r="A74" s="614" t="s">
        <v>1419</v>
      </c>
      <c r="B74" s="285" t="s">
        <v>20</v>
      </c>
      <c r="C74" s="660" t="s">
        <v>39</v>
      </c>
      <c r="D74" s="660"/>
      <c r="E74" s="27">
        <v>19.02</v>
      </c>
      <c r="F74" s="285">
        <v>4983</v>
      </c>
      <c r="G74" s="278">
        <f t="shared" si="45"/>
        <v>94776.66</v>
      </c>
      <c r="H74" s="31" t="s">
        <v>40</v>
      </c>
      <c r="I74" s="282">
        <v>14</v>
      </c>
      <c r="J74" s="29">
        <v>2400</v>
      </c>
      <c r="K74" s="12">
        <f t="shared" si="46"/>
        <v>171.42857142857142</v>
      </c>
      <c r="L74" s="282">
        <v>14</v>
      </c>
      <c r="M74" s="13">
        <f t="shared" si="47"/>
        <v>2299.8461538461534</v>
      </c>
      <c r="N74" s="12">
        <f t="shared" si="48"/>
        <v>164.27472527472523</v>
      </c>
      <c r="O74" s="14">
        <f t="shared" si="49"/>
        <v>0</v>
      </c>
      <c r="P74" s="15">
        <f t="shared" si="50"/>
        <v>-7.1538461538461888</v>
      </c>
      <c r="Q74" s="277">
        <f t="shared" si="51"/>
        <v>0.95826923076923054</v>
      </c>
      <c r="R74" s="616"/>
      <c r="S74" s="32">
        <v>0.56041666666666656</v>
      </c>
      <c r="T74" s="32">
        <v>0.65069444444444435</v>
      </c>
      <c r="U74" s="278">
        <f t="shared" si="54"/>
        <v>56.999999999999957</v>
      </c>
      <c r="V74" s="283">
        <f t="shared" si="52"/>
        <v>130.00000000000003</v>
      </c>
      <c r="W74" s="16"/>
      <c r="X74" s="16"/>
      <c r="Y74" s="16"/>
      <c r="Z74" s="16"/>
      <c r="AA74" s="612"/>
      <c r="AB74" s="612"/>
      <c r="AC74" s="18"/>
      <c r="AD74" s="18"/>
      <c r="AE74" s="14">
        <f t="shared" si="43"/>
        <v>-100.15384615384664</v>
      </c>
      <c r="AF74" s="277">
        <f t="shared" si="53"/>
        <v>0.95826923076923054</v>
      </c>
      <c r="AG74" s="616"/>
    </row>
    <row r="75" spans="1:33" ht="15.75" customHeight="1">
      <c r="A75" s="614" t="s">
        <v>1419</v>
      </c>
      <c r="B75" s="285" t="s">
        <v>20</v>
      </c>
      <c r="C75" s="605" t="s">
        <v>1420</v>
      </c>
      <c r="D75" s="606"/>
      <c r="E75" s="27">
        <v>24.25</v>
      </c>
      <c r="F75" s="285">
        <v>4177</v>
      </c>
      <c r="G75" s="278">
        <f t="shared" si="45"/>
        <v>101292.25</v>
      </c>
      <c r="H75" s="31" t="s">
        <v>40</v>
      </c>
      <c r="I75" s="282">
        <v>17</v>
      </c>
      <c r="J75" s="29">
        <v>2400</v>
      </c>
      <c r="K75" s="12">
        <f t="shared" si="46"/>
        <v>141.1764705882353</v>
      </c>
      <c r="L75" s="282">
        <v>17</v>
      </c>
      <c r="M75" s="13">
        <f t="shared" si="47"/>
        <v>2299.2660550458731</v>
      </c>
      <c r="N75" s="12">
        <f t="shared" si="48"/>
        <v>135.25094441446313</v>
      </c>
      <c r="O75" s="14">
        <f t="shared" si="49"/>
        <v>0</v>
      </c>
      <c r="P75" s="15">
        <f t="shared" si="50"/>
        <v>-5.9255261737721696</v>
      </c>
      <c r="Q75" s="277">
        <f t="shared" si="51"/>
        <v>0.95802752293578042</v>
      </c>
      <c r="R75" s="616"/>
      <c r="S75" s="32">
        <v>0.65486111111111101</v>
      </c>
      <c r="T75" s="32">
        <v>0.7305555555555554</v>
      </c>
      <c r="U75" s="278">
        <f t="shared" si="54"/>
        <v>5.9999999999999787</v>
      </c>
      <c r="V75" s="283">
        <f t="shared" si="52"/>
        <v>108.99999999999993</v>
      </c>
      <c r="W75" s="16"/>
      <c r="X75" s="16"/>
      <c r="Y75" s="19"/>
      <c r="Z75" s="19"/>
      <c r="AA75" s="607"/>
      <c r="AB75" s="608"/>
      <c r="AC75" s="18"/>
      <c r="AD75" s="18"/>
      <c r="AE75" s="14">
        <f t="shared" si="43"/>
        <v>-100.73394495412686</v>
      </c>
      <c r="AF75" s="277">
        <f t="shared" si="53"/>
        <v>0.95802752293578053</v>
      </c>
      <c r="AG75" s="616"/>
    </row>
    <row r="76" spans="1:33" ht="15.75" customHeight="1">
      <c r="A76" s="614" t="s">
        <v>1419</v>
      </c>
      <c r="B76" s="285" t="s">
        <v>20</v>
      </c>
      <c r="C76" s="605" t="s">
        <v>24</v>
      </c>
      <c r="D76" s="606"/>
      <c r="E76" s="27">
        <v>20.36</v>
      </c>
      <c r="F76" s="285">
        <v>2190</v>
      </c>
      <c r="G76" s="278">
        <f t="shared" si="45"/>
        <v>44588.4</v>
      </c>
      <c r="H76" s="31" t="s">
        <v>40</v>
      </c>
      <c r="I76" s="282">
        <v>17</v>
      </c>
      <c r="J76" s="29">
        <v>2400</v>
      </c>
      <c r="K76" s="12">
        <f t="shared" si="46"/>
        <v>141.1764705882353</v>
      </c>
      <c r="L76" s="282">
        <v>17</v>
      </c>
      <c r="M76" s="13">
        <f t="shared" si="47"/>
        <v>2305.2631578947385</v>
      </c>
      <c r="N76" s="12">
        <f t="shared" si="48"/>
        <v>135.60371517027875</v>
      </c>
      <c r="O76" s="14">
        <f t="shared" si="49"/>
        <v>0</v>
      </c>
      <c r="P76" s="15">
        <f t="shared" si="50"/>
        <v>-5.5727554179565573</v>
      </c>
      <c r="Q76" s="277">
        <f t="shared" si="51"/>
        <v>0.96052631578947434</v>
      </c>
      <c r="R76" s="616"/>
      <c r="S76" s="32">
        <v>0.7354166666666665</v>
      </c>
      <c r="T76" s="32">
        <v>0.7749999999999998</v>
      </c>
      <c r="U76" s="278">
        <f t="shared" si="54"/>
        <v>6.9999999999999751</v>
      </c>
      <c r="V76" s="283">
        <f t="shared" si="52"/>
        <v>56.999999999999957</v>
      </c>
      <c r="W76" s="16"/>
      <c r="X76" s="16"/>
      <c r="Y76" s="19"/>
      <c r="Z76" s="19"/>
      <c r="AA76" s="607"/>
      <c r="AB76" s="608"/>
      <c r="AC76" s="18"/>
      <c r="AD76" s="18"/>
      <c r="AE76" s="14">
        <f t="shared" si="43"/>
        <v>-94.73684210526153</v>
      </c>
      <c r="AF76" s="277">
        <f t="shared" si="53"/>
        <v>0.96052631578947434</v>
      </c>
      <c r="AG76" s="616"/>
    </row>
    <row r="77" spans="1:33" ht="16.5" customHeight="1">
      <c r="A77" s="615" t="s">
        <v>1419</v>
      </c>
      <c r="B77" s="27" t="s">
        <v>1410</v>
      </c>
      <c r="C77" s="609"/>
      <c r="D77" s="610"/>
      <c r="E77" s="279"/>
      <c r="F77" s="28"/>
      <c r="G77" s="12"/>
      <c r="H77" s="285"/>
      <c r="I77" s="21">
        <v>16.75</v>
      </c>
      <c r="J77" s="29">
        <v>2400</v>
      </c>
      <c r="K77" s="12">
        <f t="shared" si="46"/>
        <v>143.28358208955223</v>
      </c>
      <c r="L77" s="21">
        <v>16.75</v>
      </c>
      <c r="M77" s="13">
        <f>AVERAGE(M69:M76)</f>
        <v>2297.713951535824</v>
      </c>
      <c r="N77" s="12">
        <f t="shared" si="48"/>
        <v>137.17695233049696</v>
      </c>
      <c r="O77" s="14">
        <f t="shared" si="49"/>
        <v>0</v>
      </c>
      <c r="P77" s="15">
        <f t="shared" si="50"/>
        <v>-6.1066297590552665</v>
      </c>
      <c r="Q77" s="277">
        <f t="shared" si="51"/>
        <v>0.95738081313992673</v>
      </c>
      <c r="R77" s="616"/>
      <c r="S77" s="32"/>
      <c r="T77" s="32"/>
      <c r="U77" s="12"/>
      <c r="V77" s="283"/>
      <c r="W77" s="12"/>
      <c r="X77" s="12"/>
      <c r="Y77" s="22">
        <f>SUM(Y69:Y76)</f>
        <v>0</v>
      </c>
      <c r="Z77" s="22">
        <f>SUM(Z69:Z76)</f>
        <v>0</v>
      </c>
      <c r="AA77" s="611"/>
      <c r="AB77" s="611"/>
      <c r="AC77" s="22">
        <v>8</v>
      </c>
      <c r="AD77" s="22">
        <f>SUM(AD69:AD76)</f>
        <v>0</v>
      </c>
      <c r="AE77" s="14">
        <f t="shared" si="43"/>
        <v>-102.28604846417602</v>
      </c>
      <c r="AF77" s="277">
        <f t="shared" si="53"/>
        <v>0.95738081313992662</v>
      </c>
      <c r="AG77" s="616"/>
    </row>
    <row r="78" spans="1:33">
      <c r="D78" s="23"/>
      <c r="E78" s="23"/>
    </row>
  </sheetData>
  <mergeCells count="199">
    <mergeCell ref="A69:A77"/>
    <mergeCell ref="C69:D69"/>
    <mergeCell ref="R69:R77"/>
    <mergeCell ref="AA69:AB69"/>
    <mergeCell ref="AG69:AG77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AA72:AB72"/>
    <mergeCell ref="C73:D73"/>
    <mergeCell ref="AA73:AB73"/>
    <mergeCell ref="C74:D74"/>
    <mergeCell ref="AA74:AB74"/>
    <mergeCell ref="C75:D75"/>
    <mergeCell ref="AA75:AB75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64:A68"/>
    <mergeCell ref="C64:D64"/>
    <mergeCell ref="R64:R68"/>
    <mergeCell ref="AA64:AB64"/>
    <mergeCell ref="AA58:AB58"/>
    <mergeCell ref="C59:D59"/>
    <mergeCell ref="AA59:AB59"/>
    <mergeCell ref="C60:D60"/>
    <mergeCell ref="AA60:AB60"/>
    <mergeCell ref="C61:D61"/>
    <mergeCell ref="AA61:AB61"/>
    <mergeCell ref="A54:A63"/>
    <mergeCell ref="C54:D54"/>
    <mergeCell ref="R54:R63"/>
    <mergeCell ref="AA54:AB54"/>
    <mergeCell ref="AG54:AG63"/>
    <mergeCell ref="C55:D55"/>
    <mergeCell ref="AA55:AB55"/>
    <mergeCell ref="C56:D56"/>
    <mergeCell ref="AA56:AB56"/>
    <mergeCell ref="AA57:AB57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63:D63"/>
    <mergeCell ref="AA63:AB63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40:A48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8:A14"/>
    <mergeCell ref="C8:D8"/>
    <mergeCell ref="R8:R14"/>
    <mergeCell ref="AA8:AB8"/>
    <mergeCell ref="AA13:AB13"/>
    <mergeCell ref="C14:D14"/>
    <mergeCell ref="AA14:AB14"/>
    <mergeCell ref="AG15:AG22"/>
    <mergeCell ref="C16:D16"/>
    <mergeCell ref="AA16:AB16"/>
    <mergeCell ref="C17:D17"/>
    <mergeCell ref="AA17:AB17"/>
    <mergeCell ref="C18:D18"/>
    <mergeCell ref="AG8:AG14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8:AB18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4 O63:O64 O77 O5:O8 O14:O16 O22:O59">
    <cfRule type="cellIs" dxfId="938" priority="68" operator="greaterThan">
      <formula>0</formula>
    </cfRule>
  </conditionalFormatting>
  <conditionalFormatting sqref="P5:P6 P67 AE67 P69:P74 P31:P38 P64 P8 P14:P16 P23:P29 P54:P59 P40:P52 AE5:AE64 AE69:AE77">
    <cfRule type="cellIs" dxfId="937" priority="72" operator="lessThan">
      <formula>0</formula>
    </cfRule>
  </conditionalFormatting>
  <conditionalFormatting sqref="AF67 Q67:Q74 Q63:Q64 Q77 Q5:Q8 Q14:Q16 Q22:Q59 AF5:AF64 AF69:AF77">
    <cfRule type="cellIs" dxfId="936" priority="69" operator="greaterThan">
      <formula>1</formula>
    </cfRule>
    <cfRule type="cellIs" dxfId="935" priority="70" operator="lessThan">
      <formula>0.8</formula>
    </cfRule>
  </conditionalFormatting>
  <conditionalFormatting sqref="AG15:AG16 R15:R16 AG67 R67:R74 R22:R28 AG22:AG28 AG63:AG64 R63:R64 R77 AG5:AG8 R5:R8 AG30:AG59 R30:R59">
    <cfRule type="cellIs" dxfId="934" priority="74" operator="lessThan">
      <formula>0.8</formula>
    </cfRule>
  </conditionalFormatting>
  <conditionalFormatting sqref="AG49">
    <cfRule type="cellIs" dxfId="933" priority="76" operator="lessThan">
      <formula>0.8</formula>
    </cfRule>
  </conditionalFormatting>
  <conditionalFormatting sqref="AG23:AG28">
    <cfRule type="cellIs" dxfId="932" priority="73" operator="lessThan">
      <formula>0.8</formula>
    </cfRule>
  </conditionalFormatting>
  <conditionalFormatting sqref="AG31">
    <cfRule type="cellIs" dxfId="931" priority="75" operator="lessThan">
      <formula>0.8</formula>
    </cfRule>
  </conditionalFormatting>
  <conditionalFormatting sqref="AG40:AG47">
    <cfRule type="cellIs" dxfId="930" priority="71" operator="lessThan">
      <formula>0.8</formula>
    </cfRule>
  </conditionalFormatting>
  <conditionalFormatting sqref="AE68">
    <cfRule type="cellIs" dxfId="929" priority="67" operator="lessThan">
      <formula>0</formula>
    </cfRule>
  </conditionalFormatting>
  <conditionalFormatting sqref="AF68">
    <cfRule type="cellIs" dxfId="928" priority="65" operator="greaterThan">
      <formula>1</formula>
    </cfRule>
    <cfRule type="cellIs" dxfId="927" priority="66" operator="lessThan">
      <formula>0.8</formula>
    </cfRule>
  </conditionalFormatting>
  <conditionalFormatting sqref="O17:O18">
    <cfRule type="cellIs" dxfId="926" priority="60" operator="greaterThan">
      <formula>0</formula>
    </cfRule>
  </conditionalFormatting>
  <conditionalFormatting sqref="P17:P18">
    <cfRule type="cellIs" dxfId="925" priority="63" operator="lessThan">
      <formula>0</formula>
    </cfRule>
  </conditionalFormatting>
  <conditionalFormatting sqref="Q17:Q18">
    <cfRule type="cellIs" dxfId="924" priority="61" operator="greaterThan">
      <formula>1</formula>
    </cfRule>
    <cfRule type="cellIs" dxfId="923" priority="62" operator="lessThan">
      <formula>0.8</formula>
    </cfRule>
  </conditionalFormatting>
  <conditionalFormatting sqref="R17:R18 AG17:AG18">
    <cfRule type="cellIs" dxfId="922" priority="64" operator="lessThan">
      <formula>0.8</formula>
    </cfRule>
  </conditionalFormatting>
  <conditionalFormatting sqref="O9:O13">
    <cfRule type="cellIs" dxfId="921" priority="56" operator="greaterThan">
      <formula>0</formula>
    </cfRule>
  </conditionalFormatting>
  <conditionalFormatting sqref="P9:P13">
    <cfRule type="cellIs" dxfId="920" priority="59" operator="lessThan">
      <formula>0</formula>
    </cfRule>
  </conditionalFormatting>
  <conditionalFormatting sqref="Q9:Q13">
    <cfRule type="cellIs" dxfId="919" priority="57" operator="greaterThan">
      <formula>1</formula>
    </cfRule>
    <cfRule type="cellIs" dxfId="918" priority="58" operator="lessThan">
      <formula>0.8</formula>
    </cfRule>
  </conditionalFormatting>
  <conditionalFormatting sqref="O60">
    <cfRule type="cellIs" dxfId="917" priority="51" operator="greaterThan">
      <formula>0</formula>
    </cfRule>
  </conditionalFormatting>
  <conditionalFormatting sqref="P60">
    <cfRule type="cellIs" dxfId="916" priority="54" operator="lessThan">
      <formula>0</formula>
    </cfRule>
  </conditionalFormatting>
  <conditionalFormatting sqref="Q60">
    <cfRule type="cellIs" dxfId="915" priority="52" operator="greaterThan">
      <formula>1</formula>
    </cfRule>
    <cfRule type="cellIs" dxfId="914" priority="53" operator="lessThan">
      <formula>0.8</formula>
    </cfRule>
  </conditionalFormatting>
  <conditionalFormatting sqref="R60 AG60">
    <cfRule type="cellIs" dxfId="913" priority="55" operator="lessThan">
      <formula>0.8</formula>
    </cfRule>
  </conditionalFormatting>
  <conditionalFormatting sqref="O66">
    <cfRule type="cellIs" dxfId="912" priority="46" operator="greaterThan">
      <formula>0</formula>
    </cfRule>
  </conditionalFormatting>
  <conditionalFormatting sqref="P66 AE66">
    <cfRule type="cellIs" dxfId="911" priority="49" operator="lessThan">
      <formula>0</formula>
    </cfRule>
  </conditionalFormatting>
  <conditionalFormatting sqref="Q66 AF66">
    <cfRule type="cellIs" dxfId="910" priority="47" operator="greaterThan">
      <formula>1</formula>
    </cfRule>
    <cfRule type="cellIs" dxfId="909" priority="48" operator="lessThan">
      <formula>0.8</formula>
    </cfRule>
  </conditionalFormatting>
  <conditionalFormatting sqref="R66 AG66">
    <cfRule type="cellIs" dxfId="908" priority="50" operator="lessThan">
      <formula>0.8</formula>
    </cfRule>
  </conditionalFormatting>
  <conditionalFormatting sqref="O75">
    <cfRule type="cellIs" dxfId="907" priority="41" operator="greaterThan">
      <formula>0</formula>
    </cfRule>
  </conditionalFormatting>
  <conditionalFormatting sqref="P75">
    <cfRule type="cellIs" dxfId="906" priority="44" operator="lessThan">
      <formula>0</formula>
    </cfRule>
  </conditionalFormatting>
  <conditionalFormatting sqref="Q75">
    <cfRule type="cellIs" dxfId="905" priority="42" operator="greaterThan">
      <formula>1</formula>
    </cfRule>
    <cfRule type="cellIs" dxfId="904" priority="43" operator="lessThan">
      <formula>0.8</formula>
    </cfRule>
  </conditionalFormatting>
  <conditionalFormatting sqref="R75">
    <cfRule type="cellIs" dxfId="903" priority="45" operator="lessThan">
      <formula>0.8</formula>
    </cfRule>
  </conditionalFormatting>
  <conditionalFormatting sqref="O19:O20">
    <cfRule type="cellIs" dxfId="902" priority="36" operator="greaterThan">
      <formula>0</formula>
    </cfRule>
  </conditionalFormatting>
  <conditionalFormatting sqref="P19:P20">
    <cfRule type="cellIs" dxfId="901" priority="39" operator="lessThan">
      <formula>0</formula>
    </cfRule>
  </conditionalFormatting>
  <conditionalFormatting sqref="Q19:Q20">
    <cfRule type="cellIs" dxfId="900" priority="37" operator="greaterThan">
      <formula>1</formula>
    </cfRule>
    <cfRule type="cellIs" dxfId="899" priority="38" operator="lessThan">
      <formula>0.8</formula>
    </cfRule>
  </conditionalFormatting>
  <conditionalFormatting sqref="R19:R20 AG19:AG20">
    <cfRule type="cellIs" dxfId="898" priority="40" operator="lessThan">
      <formula>0.8</formula>
    </cfRule>
  </conditionalFormatting>
  <conditionalFormatting sqref="O61">
    <cfRule type="cellIs" dxfId="897" priority="31" operator="greaterThan">
      <formula>0</formula>
    </cfRule>
  </conditionalFormatting>
  <conditionalFormatting sqref="P61">
    <cfRule type="cellIs" dxfId="896" priority="34" operator="lessThan">
      <formula>0</formula>
    </cfRule>
  </conditionalFormatting>
  <conditionalFormatting sqref="Q61">
    <cfRule type="cellIs" dxfId="895" priority="32" operator="greaterThan">
      <formula>1</formula>
    </cfRule>
    <cfRule type="cellIs" dxfId="894" priority="33" operator="lessThan">
      <formula>0.8</formula>
    </cfRule>
  </conditionalFormatting>
  <conditionalFormatting sqref="AG61 R61">
    <cfRule type="cellIs" dxfId="893" priority="35" operator="lessThan">
      <formula>0.8</formula>
    </cfRule>
  </conditionalFormatting>
  <conditionalFormatting sqref="R29 AG29">
    <cfRule type="cellIs" dxfId="892" priority="30" operator="lessThan">
      <formula>0.8</formula>
    </cfRule>
  </conditionalFormatting>
  <conditionalFormatting sqref="AG29">
    <cfRule type="cellIs" dxfId="891" priority="29" operator="lessThan">
      <formula>0.8</formula>
    </cfRule>
  </conditionalFormatting>
  <conditionalFormatting sqref="O65">
    <cfRule type="cellIs" dxfId="890" priority="24" operator="greaterThan">
      <formula>0</formula>
    </cfRule>
  </conditionalFormatting>
  <conditionalFormatting sqref="P65 AE65">
    <cfRule type="cellIs" dxfId="889" priority="27" operator="lessThan">
      <formula>0</formula>
    </cfRule>
  </conditionalFormatting>
  <conditionalFormatting sqref="Q65 AF65">
    <cfRule type="cellIs" dxfId="888" priority="25" operator="greaterThan">
      <formula>1</formula>
    </cfRule>
    <cfRule type="cellIs" dxfId="887" priority="26" operator="lessThan">
      <formula>0.8</formula>
    </cfRule>
  </conditionalFormatting>
  <conditionalFormatting sqref="R65 AG65">
    <cfRule type="cellIs" dxfId="886" priority="28" operator="lessThan">
      <formula>0.8</formula>
    </cfRule>
  </conditionalFormatting>
  <conditionalFormatting sqref="O21">
    <cfRule type="cellIs" dxfId="885" priority="19" operator="greaterThan">
      <formula>0</formula>
    </cfRule>
  </conditionalFormatting>
  <conditionalFormatting sqref="P21">
    <cfRule type="cellIs" dxfId="884" priority="22" operator="lessThan">
      <formula>0</formula>
    </cfRule>
  </conditionalFormatting>
  <conditionalFormatting sqref="Q21">
    <cfRule type="cellIs" dxfId="883" priority="20" operator="greaterThan">
      <formula>1</formula>
    </cfRule>
    <cfRule type="cellIs" dxfId="882" priority="21" operator="lessThan">
      <formula>0.8</formula>
    </cfRule>
  </conditionalFormatting>
  <conditionalFormatting sqref="AG21 R21">
    <cfRule type="cellIs" dxfId="881" priority="23" operator="lessThan">
      <formula>0.8</formula>
    </cfRule>
  </conditionalFormatting>
  <conditionalFormatting sqref="P7">
    <cfRule type="cellIs" dxfId="880" priority="18" operator="lessThan">
      <formula>0</formula>
    </cfRule>
  </conditionalFormatting>
  <conditionalFormatting sqref="P22">
    <cfRule type="cellIs" dxfId="879" priority="17" operator="lessThan">
      <formula>0</formula>
    </cfRule>
  </conditionalFormatting>
  <conditionalFormatting sqref="P30">
    <cfRule type="cellIs" dxfId="878" priority="16" operator="lessThan">
      <formula>0</formula>
    </cfRule>
  </conditionalFormatting>
  <conditionalFormatting sqref="P39">
    <cfRule type="cellIs" dxfId="877" priority="15" operator="lessThan">
      <formula>0</formula>
    </cfRule>
  </conditionalFormatting>
  <conditionalFormatting sqref="P53">
    <cfRule type="cellIs" dxfId="876" priority="14" operator="lessThan">
      <formula>0</formula>
    </cfRule>
  </conditionalFormatting>
  <conditionalFormatting sqref="P63">
    <cfRule type="cellIs" dxfId="875" priority="13" operator="lessThan">
      <formula>0</formula>
    </cfRule>
  </conditionalFormatting>
  <conditionalFormatting sqref="P68">
    <cfRule type="cellIs" dxfId="874" priority="12" operator="lessThan">
      <formula>0</formula>
    </cfRule>
  </conditionalFormatting>
  <conditionalFormatting sqref="P77">
    <cfRule type="cellIs" dxfId="873" priority="11" operator="lessThan">
      <formula>0</formula>
    </cfRule>
  </conditionalFormatting>
  <conditionalFormatting sqref="O76">
    <cfRule type="cellIs" dxfId="872" priority="6" operator="greaterThan">
      <formula>0</formula>
    </cfRule>
  </conditionalFormatting>
  <conditionalFormatting sqref="P76">
    <cfRule type="cellIs" dxfId="871" priority="9" operator="lessThan">
      <formula>0</formula>
    </cfRule>
  </conditionalFormatting>
  <conditionalFormatting sqref="Q76">
    <cfRule type="cellIs" dxfId="870" priority="7" operator="greaterThan">
      <formula>1</formula>
    </cfRule>
    <cfRule type="cellIs" dxfId="869" priority="8" operator="lessThan">
      <formula>0.8</formula>
    </cfRule>
  </conditionalFormatting>
  <conditionalFormatting sqref="R76">
    <cfRule type="cellIs" dxfId="868" priority="10" operator="lessThan">
      <formula>0.8</formula>
    </cfRule>
  </conditionalFormatting>
  <conditionalFormatting sqref="O62">
    <cfRule type="cellIs" dxfId="867" priority="1" operator="greaterThan">
      <formula>0</formula>
    </cfRule>
  </conditionalFormatting>
  <conditionalFormatting sqref="P62">
    <cfRule type="cellIs" dxfId="866" priority="4" operator="lessThan">
      <formula>0</formula>
    </cfRule>
  </conditionalFormatting>
  <conditionalFormatting sqref="Q62">
    <cfRule type="cellIs" dxfId="865" priority="2" operator="greaterThan">
      <formula>1</formula>
    </cfRule>
    <cfRule type="cellIs" dxfId="864" priority="3" operator="lessThan">
      <formula>0.8</formula>
    </cfRule>
  </conditionalFormatting>
  <conditionalFormatting sqref="AG62 R62">
    <cfRule type="cellIs" dxfId="863" priority="5" operator="lessThan">
      <formula>0.8</formula>
    </cfRule>
  </conditionalFormatting>
  <dataValidations count="1">
    <dataValidation type="list" allowBlank="1" showInputMessage="1" showErrorMessage="1" sqref="AB7 AA5:AB6 AA68:AB77 AA7:AA67 AB9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6" sqref="Q6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1234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1235</v>
      </c>
      <c r="C3" s="594" t="str">
        <f>TEXT('0713 4度C'!A2,"yyyy.mm.ddaaaa")</f>
        <v>2026.07.13星期一</v>
      </c>
      <c r="D3" s="595"/>
      <c r="E3" s="36" t="s">
        <v>1236</v>
      </c>
      <c r="F3" s="596">
        <f>'0713 4度C'!D1</f>
        <v>198934</v>
      </c>
      <c r="G3" s="597"/>
      <c r="H3" s="36" t="s">
        <v>1237</v>
      </c>
      <c r="I3" s="598">
        <f>'0713 4度C'!F1</f>
        <v>7055780.7600000007</v>
      </c>
      <c r="J3" s="599"/>
      <c r="K3" s="37"/>
      <c r="L3" s="38"/>
      <c r="M3" s="39"/>
      <c r="N3" s="39"/>
    </row>
    <row r="4" spans="2:17" ht="28.5" customHeight="1">
      <c r="B4" s="600" t="s">
        <v>1238</v>
      </c>
      <c r="C4" s="586" t="s">
        <v>1239</v>
      </c>
      <c r="D4" s="587"/>
      <c r="E4" s="603" t="s">
        <v>1240</v>
      </c>
      <c r="F4" s="604"/>
      <c r="G4" s="603" t="s">
        <v>1241</v>
      </c>
      <c r="H4" s="604"/>
      <c r="I4" s="603" t="s">
        <v>1242</v>
      </c>
      <c r="J4" s="604"/>
      <c r="K4" s="584" t="s">
        <v>1243</v>
      </c>
      <c r="L4" s="585"/>
      <c r="M4" s="585" t="s">
        <v>1244</v>
      </c>
      <c r="N4" s="585"/>
    </row>
    <row r="5" spans="2:17" ht="28.5" customHeight="1">
      <c r="B5" s="601"/>
      <c r="C5" s="586" t="s">
        <v>1245</v>
      </c>
      <c r="D5" s="587"/>
      <c r="E5" s="586" t="s">
        <v>1246</v>
      </c>
      <c r="F5" s="587"/>
      <c r="G5" s="588" t="s">
        <v>1247</v>
      </c>
      <c r="H5" s="589"/>
      <c r="I5" s="590" t="s">
        <v>1248</v>
      </c>
      <c r="J5" s="591"/>
      <c r="K5" s="40" t="s">
        <v>1249</v>
      </c>
      <c r="L5" s="41" t="s">
        <v>1250</v>
      </c>
      <c r="M5" s="40" t="s">
        <v>1251</v>
      </c>
      <c r="N5" s="41" t="s">
        <v>208</v>
      </c>
    </row>
    <row r="6" spans="2:17" ht="28.5" customHeight="1">
      <c r="B6" s="601"/>
      <c r="C6" s="586" t="s">
        <v>41</v>
      </c>
      <c r="D6" s="587"/>
      <c r="E6" s="578">
        <f>AVERAGE(D13:M13)</f>
        <v>157.38703425063761</v>
      </c>
      <c r="F6" s="579">
        <f>AVERAGE(D31:O31,D13:J13)</f>
        <v>166.83955447622296</v>
      </c>
      <c r="G6" s="580">
        <f>AVERAGE(D13:J13)</f>
        <v>166.83955447622296</v>
      </c>
      <c r="H6" s="581"/>
      <c r="I6" s="580">
        <f>AVERAGE(K13:M13)</f>
        <v>135.33115372427173</v>
      </c>
      <c r="J6" s="581"/>
      <c r="K6" s="582">
        <f>'0713 4度C'!Y2</f>
        <v>0</v>
      </c>
      <c r="L6" s="567">
        <f>'0713 4度C'!Z2</f>
        <v>0</v>
      </c>
      <c r="M6" s="583">
        <f>'0713 4度C'!AC2</f>
        <v>63</v>
      </c>
      <c r="N6" s="567">
        <f>'0713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150.77963887336244</v>
      </c>
      <c r="F7" s="571">
        <f>AVERAGE(D32:O32,D14:J14)</f>
        <v>159.91746376202647</v>
      </c>
      <c r="G7" s="572">
        <f>AVERAGE(D14:J14)</f>
        <v>159.91746376202647</v>
      </c>
      <c r="H7" s="573"/>
      <c r="I7" s="572">
        <f>AVERAGE(K14:M14)</f>
        <v>129.45804746647968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0.95726747016495606</v>
      </c>
      <c r="F8" s="575">
        <f>AVERAGE(D15:J15,D33:O33)</f>
        <v>0.95754512201187569</v>
      </c>
      <c r="G8" s="576">
        <f>AVERAGE(D15:J15)</f>
        <v>0.95754512201187569</v>
      </c>
      <c r="H8" s="577"/>
      <c r="I8" s="576">
        <f>AVERAGE(K15:M15)</f>
        <v>0.95661961585547683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102</v>
      </c>
      <c r="N9" s="39"/>
      <c r="O9" s="39"/>
      <c r="P9" s="39"/>
      <c r="Q9" s="39"/>
    </row>
    <row r="10" spans="2:17" ht="30" customHeight="1">
      <c r="B10" s="550" t="s">
        <v>1252</v>
      </c>
      <c r="C10" s="551"/>
      <c r="D10" s="552" t="s">
        <v>104</v>
      </c>
      <c r="E10" s="553"/>
      <c r="F10" s="553"/>
      <c r="G10" s="553"/>
      <c r="H10" s="553"/>
      <c r="I10" s="553"/>
      <c r="J10" s="554"/>
      <c r="K10" s="555" t="s">
        <v>1253</v>
      </c>
      <c r="L10" s="556"/>
      <c r="M10" s="557"/>
      <c r="P10" s="45"/>
      <c r="Q10" s="45"/>
    </row>
    <row r="11" spans="2:17" ht="17.25" customHeight="1">
      <c r="B11" s="558" t="s">
        <v>1254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1255</v>
      </c>
      <c r="C13" s="52" t="s">
        <v>1256</v>
      </c>
      <c r="D13" s="53">
        <f>SUMIFS('0713 4度C'!$K:$K,'0713 4度C'!$A:$A,"新豐6線",'0713 4度C'!$B:$B,"平均")</f>
        <v>127.65957446808511</v>
      </c>
      <c r="E13" s="54">
        <f>SUMIFS('0713 4度C'!$K:$K,'0713 4度C'!$A:$A,"新豐2線",'0713 4度C'!$B:$B,"平均")</f>
        <v>84.905660377358487</v>
      </c>
      <c r="F13" s="55">
        <f>SUMIFS('0713 4度C'!$K:$K,'0713 4度C'!$A:$A,"新豐5線",'0713 4度C'!$B:$B,"平均")</f>
        <v>96.15384615384616</v>
      </c>
      <c r="G13" s="55">
        <f>SUMIFS('0713 4度C'!$K:$K,'0713 4度C'!$A:$A,"新豐7線",'0713 4度C'!$B:$B,"平均")</f>
        <v>126.12612612612612</v>
      </c>
      <c r="H13" s="55">
        <f>SUMIFS('0713 4度C'!$K:$K,'0713 4度C'!$A:$A,"新豐3線",'0713 4度C'!$B:$B,"平均")</f>
        <v>307.69230769230768</v>
      </c>
      <c r="I13" s="55">
        <f>SUMIFS('0713 4度C'!$K:$K,'0713 4度C'!$A:$A,"新豐1線",'0713 4度C'!$B:$B,"平均")</f>
        <v>117.64705882352941</v>
      </c>
      <c r="J13" s="56">
        <f>SUMIFS('0713 4度C'!$K:$K,'0713 4度C'!$A:$A,"新豐10線",'0713 4度C'!$B:$B,"平均")</f>
        <v>307.69230769230768</v>
      </c>
      <c r="K13" s="57">
        <f>SUMIFS('0713 4度C'!$K:$K,'0713 4度C'!$A:$A,"新豐8線",'0713 4度C'!$B:$B,"平均")</f>
        <v>137.70491803278691</v>
      </c>
      <c r="L13" s="58">
        <f>SUMIFS('0713 4度C'!$K:$K,'0713 4度C'!$A:$A,"新豐9線",'0713 4度C'!$B:$B,"平均")</f>
        <v>125.71428571428571</v>
      </c>
      <c r="M13" s="56">
        <f>SUMIFS('0713 4度C'!$K:$K,'0713 4度C'!$A:$A,"新豐4線",'0713 4度C'!$B:$B,"平均")</f>
        <v>142.57425742574259</v>
      </c>
    </row>
    <row r="14" spans="2:17" ht="39.6" customHeight="1">
      <c r="B14" s="563"/>
      <c r="C14" s="59" t="s">
        <v>1257</v>
      </c>
      <c r="D14" s="60">
        <f>SUMIFS('0713 4度C'!$N:$N,'0713 4度C'!$A:$A,"新豐6線",'0713 4度C'!$B:$B,"平均")</f>
        <v>122.23888643038188</v>
      </c>
      <c r="E14" s="61">
        <f>SUMIFS('0713 4度C'!$N:$N,'0713 4度C'!$A:$A,"新豐2線",'0713 4度C'!$B:$B,"平均")</f>
        <v>81.179799658649301</v>
      </c>
      <c r="F14" s="61">
        <f>SUMIFS('0713 4度C'!$N:$N,'0713 4度C'!$A:$A,"新豐5線",'0713 4度C'!$B:$B,"平均")</f>
        <v>91.979034538685596</v>
      </c>
      <c r="G14" s="61">
        <f>SUMIFS('0713 4度C'!$N:$N,'0713 4度C'!$A:$A,"新豐7線",'0713 4度C'!$B:$B,"平均")</f>
        <v>120.37055104192265</v>
      </c>
      <c r="H14" s="61">
        <f>SUMIFS('0713 4度C'!$N:$N,'0713 4度C'!$A:$A,"新豐3線",'0713 4度C'!$B:$B,"平均")</f>
        <v>294.46333466040221</v>
      </c>
      <c r="I14" s="61">
        <f>SUMIFS('0713 4度C'!$N:$N,'0713 4度C'!$A:$A,"新豐1線",'0713 4度C'!$B:$B,"平均")</f>
        <v>112.63550119235971</v>
      </c>
      <c r="J14" s="62">
        <f>SUMIFS('0713 4度C'!$N:$N,'0713 4度C'!$A:$A,"新豐10線",'0713 4度C'!$B:$B,"平均")</f>
        <v>296.55513881178382</v>
      </c>
      <c r="K14" s="63">
        <f>SUMIFS('0713 4度C'!$N:$N,'0713 4度C'!$A:$A,"新豐8線",'0713 4度C'!$B:$B,"平均")</f>
        <v>131.75070511437747</v>
      </c>
      <c r="L14" s="64">
        <f>SUMIFS('0713 4度C'!$N:$N,'0713 4度C'!$A:$A,"新豐9線",'0713 4度C'!$B:$B,"平均")</f>
        <v>120.30905161530895</v>
      </c>
      <c r="M14" s="62">
        <f>SUMIFS('0713 4度C'!$N:$N,'0713 4度C'!$A:$A,"新豐4線",'0713 4度C'!$B:$B,"平均")</f>
        <v>136.31438566975262</v>
      </c>
    </row>
    <row r="15" spans="2:17" ht="40.15" customHeight="1">
      <c r="B15" s="564"/>
      <c r="C15" s="65" t="s">
        <v>110</v>
      </c>
      <c r="D15" s="66">
        <f t="shared" ref="D15:M15" si="0">D14/D13</f>
        <v>0.95753794370465806</v>
      </c>
      <c r="E15" s="67">
        <f t="shared" si="0"/>
        <v>0.95611764042409186</v>
      </c>
      <c r="F15" s="67">
        <f t="shared" si="0"/>
        <v>0.95658195920233013</v>
      </c>
      <c r="G15" s="67">
        <f t="shared" si="0"/>
        <v>0.95436651183238674</v>
      </c>
      <c r="H15" s="67">
        <f t="shared" si="0"/>
        <v>0.9570058376463072</v>
      </c>
      <c r="I15" s="67">
        <f t="shared" si="0"/>
        <v>0.95740176013505762</v>
      </c>
      <c r="J15" s="68">
        <f t="shared" si="0"/>
        <v>0.96380420113829746</v>
      </c>
      <c r="K15" s="66">
        <f t="shared" si="0"/>
        <v>0.9567610728544077</v>
      </c>
      <c r="L15" s="67">
        <f t="shared" si="0"/>
        <v>0.95700381966723025</v>
      </c>
      <c r="M15" s="68">
        <f t="shared" si="0"/>
        <v>0.95609395504479266</v>
      </c>
    </row>
    <row r="16" spans="2:17" ht="17.25" customHeight="1">
      <c r="B16" s="565" t="s">
        <v>1258</v>
      </c>
      <c r="C16" s="69" t="s">
        <v>1259</v>
      </c>
      <c r="D16" s="70">
        <f>VLOOKUP("新豐6線",'0713 4度C'!$A:$T,19,0)</f>
        <v>0.70833333333333337</v>
      </c>
      <c r="E16" s="71">
        <f>VLOOKUP("新豐2線",'0713 4度C'!$A:$T,19,0)</f>
        <v>8.3333333333333329E-2</v>
      </c>
      <c r="F16" s="71">
        <f>VLOOKUP("新豐5線",'0713 4度C'!$A:$T,19,0)</f>
        <v>8.3333333333333329E-2</v>
      </c>
      <c r="G16" s="71">
        <f>VLOOKUP("新豐7線",'0713 4度C'!$A:$T,19,0)</f>
        <v>0.20833333333333334</v>
      </c>
      <c r="H16" s="71">
        <f>VLOOKUP("新豐3線",'0713 4度C'!$A:$T,19,0)</f>
        <v>0.20833333333333334</v>
      </c>
      <c r="I16" s="71">
        <f>VLOOKUP("新豐1線",'0713 4度C'!$A:$T,19,0)</f>
        <v>0.20833333333333334</v>
      </c>
      <c r="J16" s="72">
        <f>VLOOKUP("新豐10線",'0713 4度C'!$A:$T,19,0)</f>
        <v>0.20833333333333334</v>
      </c>
      <c r="K16" s="73">
        <f>VLOOKUP("新豐8線",'0713 4度C'!$A:$T,19,0)</f>
        <v>8.3333333333333329E-2</v>
      </c>
      <c r="L16" s="74">
        <f>VLOOKUP("新豐9線",'0713 4度C'!$A:$T,19,0)</f>
        <v>8.3333333333333329E-2</v>
      </c>
      <c r="M16" s="75">
        <f>VLOOKUP("新豐4線",'0713 4度C'!$A:$T,19,0)</f>
        <v>8.3333333333333329E-2</v>
      </c>
    </row>
    <row r="17" spans="2:13" ht="17.25" customHeight="1">
      <c r="B17" s="566"/>
      <c r="C17" s="69" t="s">
        <v>1260</v>
      </c>
      <c r="D17" s="73">
        <f>LOOKUP(2,1/(('0713 4度C'!$A:$A="新豐6線")*('0713 4度C'!$T:$T&lt;&gt;"")),'0713 4度C'!$T:$T)</f>
        <v>0.91111111111111098</v>
      </c>
      <c r="E17" s="71">
        <f>LOOKUP(2,1/(('0713 4度C'!$A:$A="新豐2線")*('0713 4度C'!$T:$T&lt;&gt;"")),'0713 4度C'!$T:$T)</f>
        <v>0.72291666666666665</v>
      </c>
      <c r="F17" s="71">
        <f>LOOKUP(2,1/(('0713 4度C'!$A:$A="新豐5線")*('0713 4度C'!$T:$T&lt;&gt;"")),'0713 4度C'!$T:$T)</f>
        <v>0.84375000000000011</v>
      </c>
      <c r="G17" s="71">
        <f>LOOKUP(2,1/(('0713 4度C'!$A:$A="新豐7線")*('0713 4度C'!$T:$T&lt;&gt;"")),'0713 4度C'!$T:$T)</f>
        <v>0.97291666666666665</v>
      </c>
      <c r="H17" s="71">
        <f>LOOKUP(2,1/(('0713 4度C'!$A:$A="新豐3線")*('0713 4度C'!$T:$T&lt;&gt;"")),'0713 4度C'!$T:$T)</f>
        <v>0.46874999999999994</v>
      </c>
      <c r="I17" s="71">
        <f>LOOKUP(2,1/(('0713 4度C'!$A:$A="新豐1線")*('0713 4度C'!$T:$T&lt;&gt;"")),'0713 4度C'!$T:$T)</f>
        <v>0.92916666666666659</v>
      </c>
      <c r="J17" s="72">
        <f>LOOKUP(2,1/(('0713 4度C'!$A:$A="新豐10線")*('0713 4度C'!$T:$T&lt;&gt;"")),'0713 4度C'!$T:$T)</f>
        <v>0.39930555555555552</v>
      </c>
      <c r="K17" s="70">
        <f>LOOKUP(2,1/(('0713 4度C'!$A:$A="新豐8線")*('0713 4度C'!$T:$T&lt;&gt;"")),'0713 4度C'!$T:$T)</f>
        <v>0.66249999999999987</v>
      </c>
      <c r="L17" s="71">
        <f>LOOKUP(2,1/(('0713 4度C'!$A:$A="新豐9線")*('0713 4度C'!$T:$T&lt;&gt;"")),'0713 4度C'!$T:$T)</f>
        <v>0.72916666666666663</v>
      </c>
      <c r="M17" s="72">
        <f>LOOKUP(2,1/(('0713 4度C'!$A:$A="新豐4線")*('0713 4度C'!$T:$T&lt;&gt;"")),'0713 4度C'!$T:$T)</f>
        <v>0.65625</v>
      </c>
    </row>
    <row r="18" spans="2:13" ht="17.25" customHeight="1">
      <c r="B18" s="544" t="s">
        <v>1261</v>
      </c>
      <c r="C18" s="76" t="s">
        <v>1262</v>
      </c>
      <c r="D18" s="77">
        <f>SUMIFS('0713 4度C'!$Y:$Y,'0713 4度C'!$A:$A,"新豐6線",'0713 4度C'!$B:$B,"平均")</f>
        <v>0</v>
      </c>
      <c r="E18" s="78">
        <f>SUMIFS('0713 4度C'!$Y:$Y,'0713 4度C'!$A:$A,"新豐2線",'0713 4度C'!$B:$B,"平均")</f>
        <v>0</v>
      </c>
      <c r="F18" s="78">
        <f>SUMIFS('0713 4度C'!$Y:$Y,'0713 4度C'!$A:$A,"新豐5線",'0713 4度C'!$B:$B,"平均")</f>
        <v>0</v>
      </c>
      <c r="G18" s="78">
        <f>SUMIFS('0713 4度C'!$Y:$Y,'0713 4度C'!$A:$A,"新豐7線",'0713 4度C'!$B:$B,"平均")</f>
        <v>0</v>
      </c>
      <c r="H18" s="78">
        <f>SUMIFS('0713 4度C'!$Y:$Y,'0713 4度C'!$A:$A,"新豐3線",'0713 4度C'!$B:$B,"平均")</f>
        <v>0</v>
      </c>
      <c r="I18" s="78">
        <f>SUMIFS('0713 4度C'!$Y:$Y,'0713 4度C'!$A:$A,"新豐1線",'0713 4度C'!$B:$B,"平均")</f>
        <v>0</v>
      </c>
      <c r="J18" s="79">
        <f>SUMIFS('0713 4度C'!$Y:$Y,'0713 4度C'!$A:$A,"新豐10線",'0713 4度C'!$B:$B,"平均")</f>
        <v>0</v>
      </c>
      <c r="K18" s="80">
        <f>SUMIFS('0713 4度C'!$Y:$Y,'0713 4度C'!$A:$A,"新豐8線",'0713 4度C'!$B:$B,"平均")</f>
        <v>0</v>
      </c>
      <c r="L18" s="78">
        <f>SUMIFS('0713 4度C'!$Y:$Y,'0713 4度C'!$A:$A,"新豐9線",'0713 4度C'!$B:$B,"平均")</f>
        <v>0</v>
      </c>
      <c r="M18" s="79">
        <f>SUMIFS('0713 4度C'!$Y:$Y,'0713 4度C'!$A:$A,"新豐4線",'0713 4度C'!$B:$B,"平均")</f>
        <v>0</v>
      </c>
    </row>
    <row r="19" spans="2:13" ht="17.25" customHeight="1">
      <c r="B19" s="545"/>
      <c r="C19" s="76" t="s">
        <v>1263</v>
      </c>
      <c r="D19" s="77">
        <f>SUMIFS('0713 4度C'!$Z:$Z,'0713 4度C'!$A:$A,"新豐6線",'0713 4度C'!$B:$B,"平均")</f>
        <v>0</v>
      </c>
      <c r="E19" s="78">
        <f>SUMIFS('0713 4度C'!$Z:$Z,'0713 4度C'!$A:$A,"新豐2線",'0713 4度C'!$B:$B,"平均")</f>
        <v>0</v>
      </c>
      <c r="F19" s="78">
        <f>SUMIFS('0713 4度C'!$Z:$Z,'0713 4度C'!$A:$A,"新豐5線",'0713 4度C'!$B:$B,"平均")</f>
        <v>0</v>
      </c>
      <c r="G19" s="78">
        <f>SUMIFS('0713 4度C'!$Z:$Z,'0713 4度C'!$A:$A,"新豐7線",'0713 4度C'!$B:$B,"平均")</f>
        <v>0</v>
      </c>
      <c r="H19" s="78">
        <f>SUMIFS('0713 4度C'!$Z:$Z,'0713 4度C'!$A:$A,"新豐3線",'0713 4度C'!$B:$B,"平均")</f>
        <v>0</v>
      </c>
      <c r="I19" s="78">
        <f>SUMIFS('0713 4度C'!$Z:$Z,'0713 4度C'!$A:$A,"新豐1線",'0713 4度C'!$B:$B,"平均")</f>
        <v>0</v>
      </c>
      <c r="J19" s="79">
        <f>SUMIFS('0713 4度C'!$Z:$Z,'0713 4度C'!$A:$A,"新豐10線",'0713 4度C'!$B:$B,"平均")</f>
        <v>0</v>
      </c>
      <c r="K19" s="80">
        <f>SUMIFS('0713 4度C'!$Z:$Z,'0713 4度C'!$A:$A,"新豐8線",'0713 4度C'!$B:$B,"平均")</f>
        <v>0</v>
      </c>
      <c r="L19" s="78">
        <f>SUMIFS('0713 4度C'!$Z:$Z,'0713 4度C'!$A:$A,"新豐9線",'0713 4度C'!$B:$B,"平均")</f>
        <v>0</v>
      </c>
      <c r="M19" s="79">
        <f>SUMIFS('0713 4度C'!$Z:$Z,'0713 4度C'!$A:$A,"新豐4線",'0713 4度C'!$B:$B,"平均")</f>
        <v>0</v>
      </c>
    </row>
    <row r="20" spans="2:13" ht="17.25" customHeight="1">
      <c r="B20" s="544" t="s">
        <v>1264</v>
      </c>
      <c r="C20" s="76" t="s">
        <v>68</v>
      </c>
      <c r="D20" s="77">
        <f>SUMIFS('0713 4度C'!$AC:$AC,'0713 4度C'!$A:$A,"新豐6線",'0713 4度C'!$B:$B,"平均")</f>
        <v>3</v>
      </c>
      <c r="E20" s="78">
        <f>SUMIFS('0713 4度C'!$AC:$AC,'0713 4度C'!$A:$A,"新豐2線",'0713 4度C'!$B:$B,"平均")</f>
        <v>6</v>
      </c>
      <c r="F20" s="78">
        <f>SUMIFS('0713 4度C'!$AC:$AC,'0713 4度C'!$A:$A,"新豐5線",'0713 4度C'!$B:$B,"平均")</f>
        <v>9</v>
      </c>
      <c r="G20" s="78">
        <f>SUMIFS('0713 4度C'!$AC:$AC,'0713 4度C'!$A:$A,"新豐7線",'0713 4度C'!$B:$B,"平均")</f>
        <v>7</v>
      </c>
      <c r="H20" s="78">
        <f>SUMIFS('0713 4度C'!$AC:$AC,'0713 4度C'!$A:$A,"新豐3線",'0713 4度C'!$B:$B,"平均")</f>
        <v>4</v>
      </c>
      <c r="I20" s="78">
        <f>SUMIFS('0713 4度C'!$AC:$AC,'0713 4度C'!$A:$A,"新豐1線",'0713 4度C'!$B:$B,"平均")</f>
        <v>9</v>
      </c>
      <c r="J20" s="79">
        <f>SUMIFS('0713 4度C'!$AC:$AC,'0713 4度C'!$A:$A,"新豐10線",'0713 4度C'!$B:$B,"平均")</f>
        <v>4</v>
      </c>
      <c r="K20" s="80">
        <f>SUMIFS('0713 4度C'!$AC:$AC,'0713 4度C'!$A:$A,"新豐8線",'0713 4度C'!$B:$B,"平均")</f>
        <v>7</v>
      </c>
      <c r="L20" s="78">
        <f>SUMIFS('0713 4度C'!$AC:$AC,'0713 4度C'!$A:$A,"新豐9線",'0713 4度C'!$B:$B,"平均")</f>
        <v>8</v>
      </c>
      <c r="M20" s="79">
        <f>SUMIFS('0713 4度C'!$AC:$AC,'0713 4度C'!$A:$A,"新豐4線",'0713 4度C'!$B:$B,"平均")</f>
        <v>6</v>
      </c>
    </row>
    <row r="21" spans="2:13" ht="17.25" customHeight="1">
      <c r="B21" s="545"/>
      <c r="C21" s="76" t="s">
        <v>1265</v>
      </c>
      <c r="D21" s="77">
        <f>SUMIFS('0713 4度C'!$AD:$AD,'0713 4度C'!$A:$A,"新豐6線",'0713 4度C'!$B:$B,"平均")</f>
        <v>0</v>
      </c>
      <c r="E21" s="78">
        <f>SUMIFS('0713 4度C'!$AD:$AD,'0713 4度C'!$A:$A,"新豐2線",'0713 4度C'!$B:$B,"平均")</f>
        <v>0</v>
      </c>
      <c r="F21" s="78">
        <f>SUMIFS('0713 4度C'!$AD:$AD,'0713 4度C'!$A:$A,"新豐5線",'0713 4度C'!$B:$B,"平均")</f>
        <v>0</v>
      </c>
      <c r="G21" s="78">
        <f>SUMIFS('0713 4度C'!$AD:$AD,'0713 4度C'!$A:$A,"新豐7線",'0713 4度C'!$B:$B,"平均")</f>
        <v>0</v>
      </c>
      <c r="H21" s="78">
        <f>SUMIFS('0713 4度C'!$AD:$AD,'0713 4度C'!$A:$A,"新豐3線",'0713 4度C'!$B:$B,"平均")</f>
        <v>0</v>
      </c>
      <c r="I21" s="78">
        <f>SUMIFS('0713 4度C'!$AD:$AD,'0713 4度C'!$A:$A,"新豐1線",'0713 4度C'!$B:$B,"平均")</f>
        <v>0</v>
      </c>
      <c r="J21" s="79">
        <f>SUMIFS('0713 4度C'!$AD:$AD,'0713 4度C'!$A:$A,"新豐10線",'0713 4度C'!$B:$B,"平均")</f>
        <v>0</v>
      </c>
      <c r="K21" s="80">
        <f>SUMIFS('0713 4度C'!$AD:$AD,'0713 4度C'!$A:$A,"新豐8線",'0713 4度C'!$B:$B,"平均")</f>
        <v>0</v>
      </c>
      <c r="L21" s="78">
        <f>SUMIFS('0713 4度C'!$AD:$AD,'0713 4度C'!$A:$A,"新豐9線",'0713 4度C'!$B:$B,"平均")</f>
        <v>0</v>
      </c>
      <c r="M21" s="79">
        <f>SUMIFS('0713 4度C'!$AD:$AD,'0713 4度C'!$A:$A,"新豐4線",'0713 4度C'!$B:$B,"平均")</f>
        <v>0</v>
      </c>
    </row>
    <row r="22" spans="2:13" ht="17.25" customHeight="1">
      <c r="B22" s="546" t="s">
        <v>1266</v>
      </c>
      <c r="C22" s="547"/>
      <c r="D22" s="81">
        <f>SUMIFS('0713 4度C'!$I:$I,'0713 4度C'!$A:$A,"新豐6線",'0713 4度C'!$B:$B,"平均")</f>
        <v>15.666666666666666</v>
      </c>
      <c r="E22" s="82">
        <f>SUMIFS('0713 4度C'!$I:$I,'0713 4度C'!$A:$A,"新豐2線",'0713 4度C'!$B:$B,"平均")</f>
        <v>17.666666666666668</v>
      </c>
      <c r="F22" s="82">
        <f>SUMIFS('0713 4度C'!$I:$I,'0713 4度C'!$A:$A,"新豐5線",'0713 4度C'!$B:$B,"平均")</f>
        <v>17.333333333333332</v>
      </c>
      <c r="G22" s="82">
        <f>SUMIFS('0713 4度C'!$I:$I,'0713 4度C'!$A:$A,"新豐7線",'0713 4度C'!$B:$B,"平均")</f>
        <v>15.857142857142858</v>
      </c>
      <c r="H22" s="82">
        <f>SUMIFS('0713 4度C'!$I:$I,'0713 4度C'!$A:$A,"新豐3線",'0713 4度C'!$B:$B,"平均")</f>
        <v>9.75</v>
      </c>
      <c r="I22" s="82">
        <f>SUMIFS('0713 4度C'!$I:$I,'0713 4度C'!$A:$A,"新豐1線",'0713 4度C'!$B:$B,"平均")</f>
        <v>17</v>
      </c>
      <c r="J22" s="83">
        <f>SUMIFS('0713 4度C'!$I:$I,'0713 4度C'!$A:$A,"新豐10線",'0713 4度C'!$B:$B,"平均")</f>
        <v>9.75</v>
      </c>
      <c r="K22" s="81">
        <f>SUMIFS('0713 4度C'!$I:$I,'0713 4度C'!$A:$A,"新豐8線",'0713 4度C'!$B:$B,"平均")</f>
        <v>17.428571428571427</v>
      </c>
      <c r="L22" s="82">
        <f>SUMIFS('0713 4度C'!$I:$I,'0713 4度C'!$A:$A,"新豐9線",'0713 4度C'!$B:$B,"平均")</f>
        <v>17.5</v>
      </c>
      <c r="M22" s="83">
        <f>SUMIFS('0713 4度C'!$I:$I,'0713 4度C'!$A:$A,"新豐4線",'0713 4度C'!$B:$B,"平均")</f>
        <v>16.833333333333332</v>
      </c>
    </row>
    <row r="23" spans="2:13" ht="17.25" customHeight="1">
      <c r="B23" s="546" t="s">
        <v>1267</v>
      </c>
      <c r="C23" s="547"/>
      <c r="D23" s="84" t="s">
        <v>54</v>
      </c>
      <c r="E23" s="85" t="s">
        <v>55</v>
      </c>
      <c r="F23" s="85" t="s">
        <v>1268</v>
      </c>
      <c r="G23" s="85" t="s">
        <v>120</v>
      </c>
      <c r="H23" s="85" t="s">
        <v>56</v>
      </c>
      <c r="I23" s="85" t="s">
        <v>54</v>
      </c>
      <c r="J23" s="86" t="s">
        <v>56</v>
      </c>
      <c r="K23" s="84" t="s">
        <v>121</v>
      </c>
      <c r="L23" s="85" t="s">
        <v>1269</v>
      </c>
      <c r="M23" s="86" t="s">
        <v>1269</v>
      </c>
    </row>
    <row r="24" spans="2:13" ht="17.25" customHeight="1">
      <c r="B24" s="546" t="s">
        <v>1270</v>
      </c>
      <c r="C24" s="547"/>
      <c r="D24" s="84"/>
      <c r="E24" s="85"/>
      <c r="F24" s="85" t="s">
        <v>1271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1272</v>
      </c>
      <c r="C25" s="549"/>
      <c r="D25" s="87"/>
      <c r="E25" s="88" t="s">
        <v>1273</v>
      </c>
      <c r="F25" s="542" t="s">
        <v>1274</v>
      </c>
      <c r="G25" s="543"/>
      <c r="H25" s="88" t="s">
        <v>1275</v>
      </c>
      <c r="I25" s="88" t="s">
        <v>1276</v>
      </c>
      <c r="J25" s="89" t="s">
        <v>237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6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8"/>
  <sheetViews>
    <sheetView zoomScale="80" zoomScaleNormal="80" workbookViewId="0">
      <pane ySplit="4" topLeftCell="A32" activePane="bottomLeft" state="frozen"/>
      <selection activeCell="U13" sqref="U13"/>
      <selection pane="bottomLeft" activeCell="U13" sqref="U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1277</v>
      </c>
      <c r="B1" s="1"/>
      <c r="C1" s="2" t="s">
        <v>1278</v>
      </c>
      <c r="D1" s="3">
        <f>SUM(F5:F77)</f>
        <v>198934</v>
      </c>
      <c r="E1" s="257" t="s">
        <v>1279</v>
      </c>
      <c r="F1" s="1">
        <f>SUM(G5:G77)</f>
        <v>7055780.7600000007</v>
      </c>
      <c r="G1" s="1" t="s">
        <v>1280</v>
      </c>
      <c r="H1" s="4">
        <f>L8+L15+L55+L65+L25+L70+L41+L50+L33+L77</f>
        <v>154.78571428571431</v>
      </c>
      <c r="I1" s="654" t="s">
        <v>1281</v>
      </c>
      <c r="J1" s="654"/>
      <c r="K1" s="654"/>
      <c r="L1" s="654" t="s">
        <v>1282</v>
      </c>
      <c r="M1" s="654"/>
      <c r="N1" s="654"/>
      <c r="O1" s="654" t="s">
        <v>1283</v>
      </c>
      <c r="P1" s="654"/>
      <c r="Q1" s="654"/>
      <c r="R1" s="654"/>
      <c r="S1" s="654" t="s">
        <v>1284</v>
      </c>
      <c r="T1" s="654"/>
      <c r="U1" s="654"/>
      <c r="V1" s="654"/>
      <c r="W1" s="654"/>
      <c r="X1" s="654"/>
      <c r="Y1" s="5" t="s">
        <v>1285</v>
      </c>
      <c r="Z1" s="6" t="s">
        <v>1286</v>
      </c>
      <c r="AA1" s="655" t="s">
        <v>1287</v>
      </c>
      <c r="AB1" s="655"/>
      <c r="AC1" s="92" t="s">
        <v>1285</v>
      </c>
      <c r="AD1" s="6" t="s">
        <v>1288</v>
      </c>
      <c r="AE1" s="654" t="s">
        <v>1289</v>
      </c>
      <c r="AF1" s="656"/>
      <c r="AG1" s="656"/>
    </row>
    <row r="2" spans="1:33" ht="26.25" customHeight="1">
      <c r="A2" s="25">
        <v>46216</v>
      </c>
      <c r="B2" s="26" t="s">
        <v>598</v>
      </c>
      <c r="C2" s="2" t="s">
        <v>1255</v>
      </c>
      <c r="D2" s="8">
        <f>AVERAGE(N8,N15,N55,N65,N25,N70,N33,N41,N50,N77)</f>
        <v>150.77963887336244</v>
      </c>
      <c r="E2" s="9" t="s">
        <v>0</v>
      </c>
      <c r="F2" s="10">
        <f>F1/D1</f>
        <v>35.467947962640878</v>
      </c>
      <c r="G2" s="1" t="s">
        <v>1290</v>
      </c>
      <c r="H2" s="254">
        <f>COUNT(H5:H77)</f>
        <v>14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SUM(Y8+Y15+Y25+Y33+Y41+Y50+Y55+Y65+Y70+Y77)</f>
        <v>0</v>
      </c>
      <c r="Z2" s="11">
        <f>SUM(Z8+Z15+Z25+Z33+Z41+Z50+Z55+Z65+Z70+Z77)</f>
        <v>0</v>
      </c>
      <c r="AA2" s="655"/>
      <c r="AB2" s="655"/>
      <c r="AC2" s="11">
        <f>SUM(AC8+AC15+AC25+AC33+AC41+AC50+AC55+AC65+AC70+AC77)</f>
        <v>63</v>
      </c>
      <c r="AD2" s="11">
        <f>SUM(AD8+AD15+AD25+AD33+AD41+AD50+AD55+AD65+AD70+AD77)</f>
        <v>0</v>
      </c>
      <c r="AE2" s="656"/>
      <c r="AF2" s="656"/>
      <c r="AG2" s="656"/>
    </row>
    <row r="3" spans="1:33" ht="40.5" customHeight="1">
      <c r="A3" s="612" t="s">
        <v>1291</v>
      </c>
      <c r="B3" s="612" t="s">
        <v>1292</v>
      </c>
      <c r="C3" s="612" t="s">
        <v>1293</v>
      </c>
      <c r="D3" s="612"/>
      <c r="E3" s="652" t="s">
        <v>1294</v>
      </c>
      <c r="F3" s="612" t="s">
        <v>1295</v>
      </c>
      <c r="G3" s="652" t="s">
        <v>1296</v>
      </c>
      <c r="H3" s="645" t="s">
        <v>1297</v>
      </c>
      <c r="I3" s="644" t="s">
        <v>1298</v>
      </c>
      <c r="J3" s="641" t="s">
        <v>1299</v>
      </c>
      <c r="K3" s="650" t="s">
        <v>1255</v>
      </c>
      <c r="L3" s="644" t="s">
        <v>1298</v>
      </c>
      <c r="M3" s="641" t="s">
        <v>1299</v>
      </c>
      <c r="N3" s="650" t="s">
        <v>1255</v>
      </c>
      <c r="O3" s="644" t="s">
        <v>1298</v>
      </c>
      <c r="P3" s="650" t="s">
        <v>1255</v>
      </c>
      <c r="Q3" s="642" t="s">
        <v>1300</v>
      </c>
      <c r="R3" s="621" t="s">
        <v>1301</v>
      </c>
      <c r="S3" s="651" t="s">
        <v>1</v>
      </c>
      <c r="T3" s="651"/>
      <c r="U3" s="645" t="s">
        <v>2</v>
      </c>
      <c r="V3" s="645" t="s">
        <v>1302</v>
      </c>
      <c r="W3" s="612" t="s">
        <v>1303</v>
      </c>
      <c r="X3" s="612"/>
      <c r="Y3" s="646" t="s">
        <v>1304</v>
      </c>
      <c r="Z3" s="611"/>
      <c r="AA3" s="647" t="s">
        <v>1305</v>
      </c>
      <c r="AB3" s="648"/>
      <c r="AC3" s="646" t="s">
        <v>1306</v>
      </c>
      <c r="AD3" s="611"/>
      <c r="AE3" s="641" t="s">
        <v>1307</v>
      </c>
      <c r="AF3" s="642" t="s">
        <v>1308</v>
      </c>
      <c r="AG3" s="621" t="s">
        <v>1309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66" t="s">
        <v>3</v>
      </c>
      <c r="T4" s="266" t="s">
        <v>4</v>
      </c>
      <c r="U4" s="645"/>
      <c r="V4" s="645"/>
      <c r="W4" s="257" t="s">
        <v>1310</v>
      </c>
      <c r="X4" s="257" t="s">
        <v>1311</v>
      </c>
      <c r="Y4" s="259" t="s">
        <v>1312</v>
      </c>
      <c r="Z4" s="259" t="s">
        <v>1313</v>
      </c>
      <c r="AA4" s="649"/>
      <c r="AB4" s="648"/>
      <c r="AC4" s="259" t="s">
        <v>1314</v>
      </c>
      <c r="AD4" s="259" t="s">
        <v>1315</v>
      </c>
      <c r="AE4" s="641"/>
      <c r="AF4" s="642"/>
      <c r="AG4" s="621"/>
    </row>
    <row r="5" spans="1:33">
      <c r="A5" s="643" t="s">
        <v>1316</v>
      </c>
      <c r="B5" s="27" t="s">
        <v>5</v>
      </c>
      <c r="C5" s="657" t="s">
        <v>14</v>
      </c>
      <c r="D5" s="657"/>
      <c r="E5" s="27">
        <v>50.92</v>
      </c>
      <c r="F5" s="266">
        <v>3356</v>
      </c>
      <c r="G5" s="257">
        <f t="shared" ref="G5:G7" si="0">E5*F5</f>
        <v>170887.52000000002</v>
      </c>
      <c r="H5" s="31" t="s">
        <v>40</v>
      </c>
      <c r="I5" s="255">
        <v>15</v>
      </c>
      <c r="J5" s="29">
        <v>2000</v>
      </c>
      <c r="K5" s="12">
        <f t="shared" ref="K5:K68" si="1">J5/I5</f>
        <v>133.33333333333334</v>
      </c>
      <c r="L5" s="255">
        <v>15</v>
      </c>
      <c r="M5" s="13">
        <f t="shared" ref="M5:M7" si="2">F5/V5*60</f>
        <v>1917.7142857142867</v>
      </c>
      <c r="N5" s="12">
        <f t="shared" ref="N5:N68" si="3">M5/L5</f>
        <v>127.84761904761912</v>
      </c>
      <c r="O5" s="14">
        <f t="shared" ref="O5:O68" si="4">L5-I5</f>
        <v>0</v>
      </c>
      <c r="P5" s="15">
        <f t="shared" ref="P5:P68" si="5">N5-K5</f>
        <v>-5.4857142857142236</v>
      </c>
      <c r="Q5" s="256">
        <f t="shared" ref="Q5:Q68" si="6">N5/K5</f>
        <v>0.9588571428571433</v>
      </c>
      <c r="R5" s="616">
        <f>Q8</f>
        <v>0.95753794370465806</v>
      </c>
      <c r="S5" s="32">
        <v>0.70833333333333337</v>
      </c>
      <c r="T5" s="32">
        <v>0.78125</v>
      </c>
      <c r="U5" s="257"/>
      <c r="V5" s="258">
        <f t="shared" ref="V5:V7" si="7">(T5-S5)*24*60</f>
        <v>104.99999999999994</v>
      </c>
      <c r="W5" s="16"/>
      <c r="X5" s="16"/>
      <c r="Y5" s="17"/>
      <c r="Z5" s="17"/>
      <c r="AA5" s="612"/>
      <c r="AB5" s="612"/>
      <c r="AC5" s="18">
        <v>3</v>
      </c>
      <c r="AD5" s="18"/>
      <c r="AE5" s="14">
        <f t="shared" ref="AE5:AE64" si="8">M5-J5</f>
        <v>-82.285714285713311</v>
      </c>
      <c r="AF5" s="256">
        <f t="shared" ref="AF5:AF68" si="9">M5/J5</f>
        <v>0.9588571428571433</v>
      </c>
      <c r="AG5" s="616">
        <f>AF8</f>
        <v>0.95753794370465806</v>
      </c>
    </row>
    <row r="6" spans="1:33">
      <c r="A6" s="644" t="s">
        <v>1317</v>
      </c>
      <c r="B6" s="27" t="s">
        <v>5</v>
      </c>
      <c r="C6" s="657" t="s">
        <v>19</v>
      </c>
      <c r="D6" s="657"/>
      <c r="E6" s="27">
        <v>50.98</v>
      </c>
      <c r="F6" s="266">
        <v>1700</v>
      </c>
      <c r="G6" s="257">
        <f t="shared" si="0"/>
        <v>86666</v>
      </c>
      <c r="H6" s="31">
        <v>2</v>
      </c>
      <c r="I6" s="255">
        <v>16</v>
      </c>
      <c r="J6" s="29">
        <v>2000</v>
      </c>
      <c r="K6" s="12">
        <f t="shared" si="1"/>
        <v>125</v>
      </c>
      <c r="L6" s="255">
        <v>16</v>
      </c>
      <c r="M6" s="13">
        <f t="shared" si="2"/>
        <v>1924.5283018867935</v>
      </c>
      <c r="N6" s="12">
        <f t="shared" si="3"/>
        <v>120.2830188679246</v>
      </c>
      <c r="O6" s="14">
        <f t="shared" si="4"/>
        <v>0</v>
      </c>
      <c r="P6" s="15">
        <f t="shared" si="5"/>
        <v>-4.7169811320754036</v>
      </c>
      <c r="Q6" s="256">
        <f t="shared" si="6"/>
        <v>0.96226415094339679</v>
      </c>
      <c r="R6" s="616"/>
      <c r="S6" s="32">
        <v>0.78680555555555554</v>
      </c>
      <c r="T6" s="32">
        <v>0.82361111111111107</v>
      </c>
      <c r="U6" s="257">
        <f t="shared" ref="U6:U7" si="10">IF(S6=TIME(17,0,0),"",(S6-T5)*24*60)</f>
        <v>7.9999999999999716</v>
      </c>
      <c r="V6" s="258">
        <f t="shared" si="7"/>
        <v>52.999999999999972</v>
      </c>
      <c r="W6" s="16">
        <f>T6</f>
        <v>0.82361111111111107</v>
      </c>
      <c r="X6" s="16">
        <f>S7</f>
        <v>0.86458333333333326</v>
      </c>
      <c r="Y6" s="16"/>
      <c r="Z6" s="16"/>
      <c r="AA6" s="612"/>
      <c r="AB6" s="612"/>
      <c r="AC6" s="18"/>
      <c r="AD6" s="18"/>
      <c r="AE6" s="14">
        <f t="shared" si="8"/>
        <v>-75.471698113206457</v>
      </c>
      <c r="AF6" s="256">
        <f t="shared" si="9"/>
        <v>0.96226415094339679</v>
      </c>
      <c r="AG6" s="616"/>
    </row>
    <row r="7" spans="1:33">
      <c r="A7" s="644" t="s">
        <v>1317</v>
      </c>
      <c r="B7" s="27" t="s">
        <v>5</v>
      </c>
      <c r="C7" s="638" t="s">
        <v>19</v>
      </c>
      <c r="D7" s="639"/>
      <c r="E7" s="27">
        <v>50.98</v>
      </c>
      <c r="F7" s="266">
        <v>2125</v>
      </c>
      <c r="G7" s="257">
        <f t="shared" si="0"/>
        <v>108332.5</v>
      </c>
      <c r="H7" s="31" t="s">
        <v>40</v>
      </c>
      <c r="I7" s="255">
        <v>16</v>
      </c>
      <c r="J7" s="29">
        <v>2000</v>
      </c>
      <c r="K7" s="12">
        <f t="shared" si="1"/>
        <v>125</v>
      </c>
      <c r="L7" s="255">
        <v>16</v>
      </c>
      <c r="M7" s="13">
        <f t="shared" si="2"/>
        <v>1902.985074626868</v>
      </c>
      <c r="N7" s="12">
        <f t="shared" si="3"/>
        <v>118.93656716417925</v>
      </c>
      <c r="O7" s="14">
        <f t="shared" si="4"/>
        <v>0</v>
      </c>
      <c r="P7" s="15">
        <f t="shared" si="5"/>
        <v>-6.0634328358207483</v>
      </c>
      <c r="Q7" s="256">
        <f t="shared" si="6"/>
        <v>0.95149253731343397</v>
      </c>
      <c r="R7" s="616"/>
      <c r="S7" s="32">
        <v>0.86458333333333326</v>
      </c>
      <c r="T7" s="32">
        <v>0.91111111111111098</v>
      </c>
      <c r="U7" s="257">
        <f t="shared" si="10"/>
        <v>58.99999999999995</v>
      </c>
      <c r="V7" s="258">
        <f t="shared" si="7"/>
        <v>66.999999999999915</v>
      </c>
      <c r="W7" s="16"/>
      <c r="X7" s="16"/>
      <c r="Y7" s="19"/>
      <c r="Z7" s="19"/>
      <c r="AA7" s="607"/>
      <c r="AB7" s="608"/>
      <c r="AC7" s="267"/>
      <c r="AD7" s="267"/>
      <c r="AE7" s="14">
        <f t="shared" si="8"/>
        <v>-97.014925373131973</v>
      </c>
      <c r="AF7" s="256">
        <f t="shared" si="9"/>
        <v>0.95149253731343397</v>
      </c>
      <c r="AG7" s="616"/>
    </row>
    <row r="8" spans="1:33">
      <c r="A8" s="644" t="s">
        <v>1317</v>
      </c>
      <c r="B8" s="27" t="s">
        <v>70</v>
      </c>
      <c r="C8" s="658"/>
      <c r="D8" s="658"/>
      <c r="E8" s="260"/>
      <c r="F8" s="28"/>
      <c r="G8" s="12"/>
      <c r="H8" s="266"/>
      <c r="I8" s="21">
        <v>15.666666666666666</v>
      </c>
      <c r="J8" s="29">
        <v>2000</v>
      </c>
      <c r="K8" s="12">
        <f t="shared" si="1"/>
        <v>127.65957446808511</v>
      </c>
      <c r="L8" s="21">
        <v>15.666666666666666</v>
      </c>
      <c r="M8" s="13">
        <f>AVERAGE(M5:M7)</f>
        <v>1915.075887409316</v>
      </c>
      <c r="N8" s="12">
        <f t="shared" si="3"/>
        <v>122.23888643038188</v>
      </c>
      <c r="O8" s="14">
        <f t="shared" si="4"/>
        <v>0</v>
      </c>
      <c r="P8" s="15">
        <f t="shared" si="5"/>
        <v>-5.4206880377032292</v>
      </c>
      <c r="Q8" s="256">
        <f t="shared" si="6"/>
        <v>0.95753794370465806</v>
      </c>
      <c r="R8" s="616"/>
      <c r="S8" s="32"/>
      <c r="T8" s="32"/>
      <c r="U8" s="257"/>
      <c r="V8" s="258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-84.92411259068399</v>
      </c>
      <c r="AF8" s="256">
        <f t="shared" si="9"/>
        <v>0.95753794370465806</v>
      </c>
      <c r="AG8" s="616"/>
    </row>
    <row r="9" spans="1:33" ht="15.75" customHeight="1">
      <c r="A9" s="640" t="s">
        <v>175</v>
      </c>
      <c r="B9" s="27" t="s">
        <v>8</v>
      </c>
      <c r="C9" s="638" t="s">
        <v>10</v>
      </c>
      <c r="D9" s="639"/>
      <c r="E9" s="27">
        <v>39.799999999999997</v>
      </c>
      <c r="F9" s="266">
        <v>4200</v>
      </c>
      <c r="G9" s="257">
        <f t="shared" ref="G9:G14" si="11">E9*F9</f>
        <v>167160</v>
      </c>
      <c r="H9" s="31">
        <v>2</v>
      </c>
      <c r="I9" s="255">
        <v>17</v>
      </c>
      <c r="J9" s="29">
        <v>1500</v>
      </c>
      <c r="K9" s="12">
        <f t="shared" si="1"/>
        <v>88.235294117647058</v>
      </c>
      <c r="L9" s="255">
        <v>17</v>
      </c>
      <c r="M9" s="13">
        <f t="shared" ref="M9:M14" si="12">F9/V9*60</f>
        <v>1431.8181818181818</v>
      </c>
      <c r="N9" s="12">
        <f t="shared" si="3"/>
        <v>84.224598930481278</v>
      </c>
      <c r="O9" s="14">
        <f t="shared" si="4"/>
        <v>0</v>
      </c>
      <c r="P9" s="15">
        <f t="shared" si="5"/>
        <v>-4.0106951871657799</v>
      </c>
      <c r="Q9" s="256">
        <f t="shared" si="6"/>
        <v>0.95454545454545447</v>
      </c>
      <c r="R9" s="616">
        <f>Q15</f>
        <v>0.95611764042409186</v>
      </c>
      <c r="S9" s="32">
        <v>8.3333333333333329E-2</v>
      </c>
      <c r="T9" s="32">
        <v>0.20555555555555555</v>
      </c>
      <c r="U9" s="257"/>
      <c r="V9" s="258">
        <f t="shared" ref="V9:V14" si="13">(T9-S9)*24*60</f>
        <v>176</v>
      </c>
      <c r="W9" s="16">
        <f>T9</f>
        <v>0.20555555555555555</v>
      </c>
      <c r="X9" s="16">
        <f>S10</f>
        <v>0.22569444444444445</v>
      </c>
      <c r="Y9" s="16"/>
      <c r="Z9" s="16"/>
      <c r="AA9" s="612"/>
      <c r="AB9" s="612"/>
      <c r="AC9" s="18">
        <v>6</v>
      </c>
      <c r="AD9" s="18"/>
      <c r="AE9" s="14">
        <f t="shared" si="8"/>
        <v>-68.181818181818244</v>
      </c>
      <c r="AF9" s="256">
        <f t="shared" si="9"/>
        <v>0.95454545454545447</v>
      </c>
      <c r="AG9" s="616">
        <f>AF15</f>
        <v>0.95611764042409186</v>
      </c>
    </row>
    <row r="10" spans="1:33" ht="15.75" customHeight="1">
      <c r="A10" s="640" t="s">
        <v>1318</v>
      </c>
      <c r="B10" s="27" t="s">
        <v>8</v>
      </c>
      <c r="C10" s="638" t="s">
        <v>63</v>
      </c>
      <c r="D10" s="639"/>
      <c r="E10" s="27">
        <v>39.46</v>
      </c>
      <c r="F10" s="266">
        <v>2300</v>
      </c>
      <c r="G10" s="257">
        <f t="shared" si="11"/>
        <v>90758</v>
      </c>
      <c r="H10" s="31">
        <v>2</v>
      </c>
      <c r="I10" s="255">
        <v>15</v>
      </c>
      <c r="J10" s="29">
        <v>1500</v>
      </c>
      <c r="K10" s="12">
        <f t="shared" si="1"/>
        <v>100</v>
      </c>
      <c r="L10" s="255">
        <v>15</v>
      </c>
      <c r="M10" s="13">
        <f t="shared" si="12"/>
        <v>1437.4999999999998</v>
      </c>
      <c r="N10" s="12">
        <f t="shared" si="3"/>
        <v>95.833333333333314</v>
      </c>
      <c r="O10" s="14">
        <f t="shared" si="4"/>
        <v>0</v>
      </c>
      <c r="P10" s="15">
        <f t="shared" si="5"/>
        <v>-4.1666666666666856</v>
      </c>
      <c r="Q10" s="256">
        <f t="shared" si="6"/>
        <v>0.95833333333333315</v>
      </c>
      <c r="R10" s="616"/>
      <c r="S10" s="32">
        <v>0.22569444444444445</v>
      </c>
      <c r="T10" s="32">
        <v>0.29236111111111113</v>
      </c>
      <c r="U10" s="257">
        <f t="shared" ref="U10:U14" si="14">IF(S10=TIME(17,0,0),"",(S10-T9)*24*60)</f>
        <v>29.000000000000018</v>
      </c>
      <c r="V10" s="258">
        <f t="shared" si="13"/>
        <v>96.000000000000014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-62.500000000000227</v>
      </c>
      <c r="AF10" s="256">
        <f t="shared" si="9"/>
        <v>0.95833333333333315</v>
      </c>
      <c r="AG10" s="616"/>
    </row>
    <row r="11" spans="1:33" ht="15.75" customHeight="1">
      <c r="A11" s="640" t="s">
        <v>1318</v>
      </c>
      <c r="B11" s="27" t="s">
        <v>8</v>
      </c>
      <c r="C11" s="638" t="s">
        <v>74</v>
      </c>
      <c r="D11" s="639"/>
      <c r="E11" s="27">
        <v>39.520000000000003</v>
      </c>
      <c r="F11" s="266">
        <v>3113</v>
      </c>
      <c r="G11" s="257">
        <f t="shared" si="11"/>
        <v>123025.76000000001</v>
      </c>
      <c r="H11" s="31" t="s">
        <v>40</v>
      </c>
      <c r="I11" s="255">
        <v>19</v>
      </c>
      <c r="J11" s="29">
        <v>1500</v>
      </c>
      <c r="K11" s="12">
        <f t="shared" si="1"/>
        <v>78.94736842105263</v>
      </c>
      <c r="L11" s="255">
        <v>19</v>
      </c>
      <c r="M11" s="13">
        <f t="shared" si="12"/>
        <v>1436.7692307692305</v>
      </c>
      <c r="N11" s="12">
        <f t="shared" si="3"/>
        <v>75.619433198380548</v>
      </c>
      <c r="O11" s="14">
        <f t="shared" si="4"/>
        <v>0</v>
      </c>
      <c r="P11" s="15">
        <f t="shared" si="5"/>
        <v>-3.3279352226720817</v>
      </c>
      <c r="Q11" s="256">
        <f t="shared" si="6"/>
        <v>0.95784615384615368</v>
      </c>
      <c r="R11" s="616"/>
      <c r="S11" s="32">
        <v>0.29583333333333334</v>
      </c>
      <c r="T11" s="32">
        <v>0.38611111111111113</v>
      </c>
      <c r="U11" s="257">
        <f t="shared" si="14"/>
        <v>4.9999999999999822</v>
      </c>
      <c r="V11" s="258">
        <f t="shared" si="13"/>
        <v>130.00000000000003</v>
      </c>
      <c r="W11" s="16"/>
      <c r="X11" s="16"/>
      <c r="Y11" s="16"/>
      <c r="Z11" s="16"/>
      <c r="AA11" s="612"/>
      <c r="AB11" s="612"/>
      <c r="AC11" s="18"/>
      <c r="AD11" s="18"/>
      <c r="AE11" s="14">
        <f t="shared" si="8"/>
        <v>-63.230769230769511</v>
      </c>
      <c r="AF11" s="256">
        <f t="shared" si="9"/>
        <v>0.95784615384615368</v>
      </c>
      <c r="AG11" s="616"/>
    </row>
    <row r="12" spans="1:33" ht="15.75" customHeight="1">
      <c r="A12" s="640" t="s">
        <v>1318</v>
      </c>
      <c r="B12" s="27" t="s">
        <v>8</v>
      </c>
      <c r="C12" s="638" t="s">
        <v>9</v>
      </c>
      <c r="D12" s="639"/>
      <c r="E12" s="27">
        <v>39.619999999999997</v>
      </c>
      <c r="F12" s="266">
        <v>3700</v>
      </c>
      <c r="G12" s="257">
        <f t="shared" si="11"/>
        <v>146594</v>
      </c>
      <c r="H12" s="31">
        <v>2</v>
      </c>
      <c r="I12" s="255">
        <v>19</v>
      </c>
      <c r="J12" s="29">
        <v>1500</v>
      </c>
      <c r="K12" s="12">
        <f t="shared" si="1"/>
        <v>78.94736842105263</v>
      </c>
      <c r="L12" s="255">
        <v>19</v>
      </c>
      <c r="M12" s="13">
        <f t="shared" si="12"/>
        <v>1432.258064516129</v>
      </c>
      <c r="N12" s="12">
        <f t="shared" si="3"/>
        <v>75.382003395585741</v>
      </c>
      <c r="O12" s="14">
        <f t="shared" si="4"/>
        <v>0</v>
      </c>
      <c r="P12" s="15">
        <f t="shared" si="5"/>
        <v>-3.5653650254668889</v>
      </c>
      <c r="Q12" s="256">
        <f t="shared" si="6"/>
        <v>0.95483870967741935</v>
      </c>
      <c r="R12" s="616"/>
      <c r="S12" s="32">
        <v>0.39027777777777778</v>
      </c>
      <c r="T12" s="32">
        <v>0.49791666666666667</v>
      </c>
      <c r="U12" s="257">
        <f t="shared" si="14"/>
        <v>5.9999999999999787</v>
      </c>
      <c r="V12" s="258">
        <f t="shared" si="13"/>
        <v>155</v>
      </c>
      <c r="W12" s="16">
        <f>T12</f>
        <v>0.49791666666666667</v>
      </c>
      <c r="X12" s="16">
        <f>S13</f>
        <v>0.53680555555555554</v>
      </c>
      <c r="Y12" s="16"/>
      <c r="Z12" s="16"/>
      <c r="AA12" s="607"/>
      <c r="AB12" s="608"/>
      <c r="AC12" s="18"/>
      <c r="AD12" s="18"/>
      <c r="AE12" s="14">
        <f t="shared" si="8"/>
        <v>-67.741935483870975</v>
      </c>
      <c r="AF12" s="256">
        <f t="shared" si="9"/>
        <v>0.95483870967741935</v>
      </c>
      <c r="AG12" s="616"/>
    </row>
    <row r="13" spans="1:33" ht="15.75" customHeight="1">
      <c r="A13" s="640" t="s">
        <v>1318</v>
      </c>
      <c r="B13" s="27" t="s">
        <v>8</v>
      </c>
      <c r="C13" s="638" t="s">
        <v>9</v>
      </c>
      <c r="D13" s="639"/>
      <c r="E13" s="27">
        <v>39.619999999999997</v>
      </c>
      <c r="F13" s="266">
        <v>2796</v>
      </c>
      <c r="G13" s="257">
        <f t="shared" si="11"/>
        <v>110777.51999999999</v>
      </c>
      <c r="H13" s="31" t="s">
        <v>40</v>
      </c>
      <c r="I13" s="255">
        <v>19</v>
      </c>
      <c r="J13" s="29">
        <v>1500</v>
      </c>
      <c r="K13" s="12">
        <f t="shared" si="1"/>
        <v>78.94736842105263</v>
      </c>
      <c r="L13" s="255">
        <v>19</v>
      </c>
      <c r="M13" s="13">
        <f t="shared" si="12"/>
        <v>1433.8461538461531</v>
      </c>
      <c r="N13" s="12">
        <f t="shared" si="3"/>
        <v>75.465587044534374</v>
      </c>
      <c r="O13" s="14">
        <f t="shared" si="4"/>
        <v>0</v>
      </c>
      <c r="P13" s="15">
        <f t="shared" si="5"/>
        <v>-3.4817813765182564</v>
      </c>
      <c r="Q13" s="256">
        <f t="shared" si="6"/>
        <v>0.95589743589743537</v>
      </c>
      <c r="R13" s="616"/>
      <c r="S13" s="32">
        <v>0.53680555555555554</v>
      </c>
      <c r="T13" s="32">
        <v>0.61805555555555558</v>
      </c>
      <c r="U13" s="257">
        <f t="shared" si="14"/>
        <v>55.999999999999957</v>
      </c>
      <c r="V13" s="258">
        <f t="shared" si="13"/>
        <v>117.00000000000006</v>
      </c>
      <c r="W13" s="16"/>
      <c r="X13" s="16"/>
      <c r="Y13" s="19"/>
      <c r="Z13" s="19"/>
      <c r="AA13" s="607"/>
      <c r="AB13" s="608"/>
      <c r="AC13" s="18"/>
      <c r="AD13" s="18"/>
      <c r="AE13" s="14">
        <f t="shared" si="8"/>
        <v>-66.153846153846871</v>
      </c>
      <c r="AF13" s="256">
        <f t="shared" si="9"/>
        <v>0.95589743589743537</v>
      </c>
      <c r="AG13" s="616"/>
    </row>
    <row r="14" spans="1:33" ht="15.75" customHeight="1">
      <c r="A14" s="640" t="s">
        <v>1318</v>
      </c>
      <c r="B14" s="27" t="s">
        <v>8</v>
      </c>
      <c r="C14" s="638" t="s">
        <v>10</v>
      </c>
      <c r="D14" s="639"/>
      <c r="E14" s="27">
        <v>39.799999999999997</v>
      </c>
      <c r="F14" s="266">
        <v>3415</v>
      </c>
      <c r="G14" s="257">
        <f t="shared" si="11"/>
        <v>135917</v>
      </c>
      <c r="H14" s="31" t="s">
        <v>40</v>
      </c>
      <c r="I14" s="255">
        <v>17</v>
      </c>
      <c r="J14" s="29">
        <v>1500</v>
      </c>
      <c r="K14" s="12">
        <f t="shared" si="1"/>
        <v>88.235294117647058</v>
      </c>
      <c r="L14" s="255">
        <v>17</v>
      </c>
      <c r="M14" s="13">
        <f t="shared" si="12"/>
        <v>1432.8671328671333</v>
      </c>
      <c r="N14" s="12">
        <f t="shared" si="3"/>
        <v>84.286301933360775</v>
      </c>
      <c r="O14" s="14">
        <f t="shared" si="4"/>
        <v>0</v>
      </c>
      <c r="P14" s="15">
        <f t="shared" si="5"/>
        <v>-3.9489921842862827</v>
      </c>
      <c r="Q14" s="256">
        <f t="shared" si="6"/>
        <v>0.95524475524475549</v>
      </c>
      <c r="R14" s="616"/>
      <c r="S14" s="32">
        <v>0.62361111111111112</v>
      </c>
      <c r="T14" s="32">
        <v>0.72291666666666665</v>
      </c>
      <c r="U14" s="257">
        <f t="shared" si="14"/>
        <v>7.9999999999999716</v>
      </c>
      <c r="V14" s="258">
        <f t="shared" si="13"/>
        <v>142.99999999999997</v>
      </c>
      <c r="W14" s="16"/>
      <c r="X14" s="16"/>
      <c r="Y14" s="19"/>
      <c r="Z14" s="19"/>
      <c r="AA14" s="607"/>
      <c r="AB14" s="608"/>
      <c r="AC14" s="18"/>
      <c r="AD14" s="18"/>
      <c r="AE14" s="14">
        <f t="shared" si="8"/>
        <v>-67.13286713286675</v>
      </c>
      <c r="AF14" s="256">
        <f t="shared" si="9"/>
        <v>0.95524475524475549</v>
      </c>
      <c r="AG14" s="616"/>
    </row>
    <row r="15" spans="1:33" ht="16.5" customHeight="1">
      <c r="A15" s="640" t="s">
        <v>1318</v>
      </c>
      <c r="B15" s="27" t="s">
        <v>1319</v>
      </c>
      <c r="C15" s="658"/>
      <c r="D15" s="658"/>
      <c r="E15" s="260"/>
      <c r="F15" s="29"/>
      <c r="G15" s="13"/>
      <c r="H15" s="266"/>
      <c r="I15" s="21">
        <v>17.666666666666668</v>
      </c>
      <c r="J15" s="29">
        <v>1500</v>
      </c>
      <c r="K15" s="12">
        <f t="shared" si="1"/>
        <v>84.905660377358487</v>
      </c>
      <c r="L15" s="21">
        <v>17.666666666666668</v>
      </c>
      <c r="M15" s="13">
        <f>AVERAGE(M9:M14)</f>
        <v>1434.1764606361378</v>
      </c>
      <c r="N15" s="12">
        <f t="shared" si="3"/>
        <v>81.179799658649301</v>
      </c>
      <c r="O15" s="14">
        <f t="shared" si="4"/>
        <v>0</v>
      </c>
      <c r="P15" s="15">
        <f t="shared" si="5"/>
        <v>-3.7258607187091854</v>
      </c>
      <c r="Q15" s="256">
        <f t="shared" si="6"/>
        <v>0.95611764042409186</v>
      </c>
      <c r="R15" s="616"/>
      <c r="S15" s="32"/>
      <c r="T15" s="32"/>
      <c r="U15" s="12"/>
      <c r="V15" s="258"/>
      <c r="W15" s="12"/>
      <c r="X15" s="12"/>
      <c r="Y15" s="22">
        <f>SUM(Y9:Y14)</f>
        <v>0</v>
      </c>
      <c r="Z15" s="22">
        <f>SUM(Z9:Z14)</f>
        <v>0</v>
      </c>
      <c r="AA15" s="611"/>
      <c r="AB15" s="611"/>
      <c r="AC15" s="22">
        <v>6</v>
      </c>
      <c r="AD15" s="22">
        <f>SUM(AD9:AD14)</f>
        <v>0</v>
      </c>
      <c r="AE15" s="14">
        <f t="shared" si="8"/>
        <v>-65.82353936386221</v>
      </c>
      <c r="AF15" s="256">
        <f t="shared" si="9"/>
        <v>0.95611764042409186</v>
      </c>
      <c r="AG15" s="616"/>
    </row>
    <row r="16" spans="1:33" ht="16.5" customHeight="1">
      <c r="A16" s="636" t="s">
        <v>1320</v>
      </c>
      <c r="B16" s="266" t="s">
        <v>1134</v>
      </c>
      <c r="C16" s="659" t="s">
        <v>1035</v>
      </c>
      <c r="D16" s="659"/>
      <c r="E16" s="27">
        <v>31.11</v>
      </c>
      <c r="F16" s="266">
        <v>4448</v>
      </c>
      <c r="G16" s="257">
        <f t="shared" ref="G16:G24" si="15">E16*F16</f>
        <v>138377.28</v>
      </c>
      <c r="H16" s="31" t="s">
        <v>40</v>
      </c>
      <c r="I16" s="255">
        <v>14</v>
      </c>
      <c r="J16" s="29">
        <v>2000</v>
      </c>
      <c r="K16" s="12">
        <f t="shared" si="1"/>
        <v>142.85714285714286</v>
      </c>
      <c r="L16" s="255">
        <v>14</v>
      </c>
      <c r="M16" s="13">
        <f t="shared" ref="M16:M24" si="16">F16/V16*60</f>
        <v>1906.2857142857142</v>
      </c>
      <c r="N16" s="12">
        <f t="shared" si="3"/>
        <v>136.16326530612244</v>
      </c>
      <c r="O16" s="14">
        <f t="shared" si="4"/>
        <v>0</v>
      </c>
      <c r="P16" s="15">
        <f t="shared" si="5"/>
        <v>-6.6938775510204209</v>
      </c>
      <c r="Q16" s="256">
        <f t="shared" si="6"/>
        <v>0.95314285714285707</v>
      </c>
      <c r="R16" s="616">
        <f>Q25</f>
        <v>0.95658195920233013</v>
      </c>
      <c r="S16" s="32">
        <v>8.3333333333333329E-2</v>
      </c>
      <c r="T16" s="32">
        <v>0.18055555555555555</v>
      </c>
      <c r="U16" s="257"/>
      <c r="V16" s="258">
        <f t="shared" ref="V16:V24" si="17">(T16-S16)*24*60</f>
        <v>140</v>
      </c>
      <c r="W16" s="16">
        <f>T16</f>
        <v>0.18055555555555555</v>
      </c>
      <c r="X16" s="16">
        <f>S17</f>
        <v>0.2013888888888889</v>
      </c>
      <c r="Y16" s="20"/>
      <c r="Z16" s="20"/>
      <c r="AA16" s="612"/>
      <c r="AB16" s="612"/>
      <c r="AC16" s="18">
        <v>9</v>
      </c>
      <c r="AD16" s="18"/>
      <c r="AE16" s="14">
        <f t="shared" si="8"/>
        <v>-93.714285714285779</v>
      </c>
      <c r="AF16" s="256">
        <f t="shared" si="9"/>
        <v>0.95314285714285707</v>
      </c>
      <c r="AG16" s="616">
        <f>AF25</f>
        <v>0.95658195920233013</v>
      </c>
    </row>
    <row r="17" spans="1:33" ht="16.5" customHeight="1">
      <c r="A17" s="637" t="s">
        <v>1320</v>
      </c>
      <c r="B17" s="266" t="s">
        <v>1134</v>
      </c>
      <c r="C17" s="659" t="s">
        <v>1036</v>
      </c>
      <c r="D17" s="659"/>
      <c r="E17" s="27">
        <v>38.99</v>
      </c>
      <c r="F17" s="266">
        <v>1562</v>
      </c>
      <c r="G17" s="257">
        <f t="shared" si="15"/>
        <v>60902.380000000005</v>
      </c>
      <c r="H17" s="31" t="s">
        <v>40</v>
      </c>
      <c r="I17" s="255">
        <v>14</v>
      </c>
      <c r="J17" s="29">
        <v>2000</v>
      </c>
      <c r="K17" s="12">
        <f t="shared" si="1"/>
        <v>142.85714285714286</v>
      </c>
      <c r="L17" s="255">
        <v>14</v>
      </c>
      <c r="M17" s="13">
        <f t="shared" si="16"/>
        <v>1912.6530612244903</v>
      </c>
      <c r="N17" s="12">
        <f t="shared" si="3"/>
        <v>136.61807580174931</v>
      </c>
      <c r="O17" s="14">
        <f t="shared" si="4"/>
        <v>0</v>
      </c>
      <c r="P17" s="15">
        <f t="shared" si="5"/>
        <v>-6.2390670553935479</v>
      </c>
      <c r="Q17" s="256">
        <f t="shared" si="6"/>
        <v>0.95632653061224515</v>
      </c>
      <c r="R17" s="616"/>
      <c r="S17" s="32">
        <v>0.2013888888888889</v>
      </c>
      <c r="T17" s="32">
        <v>0.23541666666666666</v>
      </c>
      <c r="U17" s="257">
        <f t="shared" ref="U17:U24" si="18">IF(S17=TIME(17,0,0),"",(S17-T16)*24*60)</f>
        <v>30.000000000000014</v>
      </c>
      <c r="V17" s="258">
        <f t="shared" si="17"/>
        <v>48.999999999999986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-87.34693877550967</v>
      </c>
      <c r="AF17" s="256">
        <f t="shared" si="9"/>
        <v>0.95632653061224515</v>
      </c>
      <c r="AG17" s="616"/>
    </row>
    <row r="18" spans="1:33" ht="16.5" customHeight="1">
      <c r="A18" s="637" t="s">
        <v>1320</v>
      </c>
      <c r="B18" s="266" t="s">
        <v>11</v>
      </c>
      <c r="C18" s="659" t="s">
        <v>67</v>
      </c>
      <c r="D18" s="659"/>
      <c r="E18" s="27">
        <v>38.619999999999997</v>
      </c>
      <c r="F18" s="266">
        <v>3207</v>
      </c>
      <c r="G18" s="257">
        <f t="shared" si="15"/>
        <v>123854.34</v>
      </c>
      <c r="H18" s="31" t="s">
        <v>40</v>
      </c>
      <c r="I18" s="255">
        <v>24</v>
      </c>
      <c r="J18" s="29">
        <v>1500</v>
      </c>
      <c r="K18" s="12">
        <f t="shared" si="1"/>
        <v>62.5</v>
      </c>
      <c r="L18" s="255">
        <v>24</v>
      </c>
      <c r="M18" s="13">
        <f t="shared" si="16"/>
        <v>1435.9701492537308</v>
      </c>
      <c r="N18" s="12">
        <f t="shared" si="3"/>
        <v>59.832089552238784</v>
      </c>
      <c r="O18" s="14">
        <f t="shared" si="4"/>
        <v>0</v>
      </c>
      <c r="P18" s="15">
        <f t="shared" si="5"/>
        <v>-2.6679104477612157</v>
      </c>
      <c r="Q18" s="256">
        <f t="shared" si="6"/>
        <v>0.9573134328358206</v>
      </c>
      <c r="R18" s="616"/>
      <c r="S18" s="32">
        <v>0.24027777777777778</v>
      </c>
      <c r="T18" s="32">
        <v>0.33333333333333337</v>
      </c>
      <c r="U18" s="257">
        <f t="shared" si="18"/>
        <v>7.0000000000000151</v>
      </c>
      <c r="V18" s="258">
        <f t="shared" si="17"/>
        <v>134.00000000000006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-64.029850746269176</v>
      </c>
      <c r="AF18" s="256">
        <f t="shared" si="9"/>
        <v>0.9573134328358206</v>
      </c>
      <c r="AG18" s="616"/>
    </row>
    <row r="19" spans="1:33" ht="16.5" customHeight="1">
      <c r="A19" s="637" t="s">
        <v>1320</v>
      </c>
      <c r="B19" s="266" t="s">
        <v>11</v>
      </c>
      <c r="C19" s="659" t="s">
        <v>12</v>
      </c>
      <c r="D19" s="659"/>
      <c r="E19" s="27">
        <v>41</v>
      </c>
      <c r="F19" s="266">
        <v>2554</v>
      </c>
      <c r="G19" s="257">
        <f t="shared" si="15"/>
        <v>104714</v>
      </c>
      <c r="H19" s="31" t="s">
        <v>40</v>
      </c>
      <c r="I19" s="255">
        <v>26</v>
      </c>
      <c r="J19" s="29">
        <v>1500</v>
      </c>
      <c r="K19" s="12">
        <f t="shared" si="1"/>
        <v>57.692307692307693</v>
      </c>
      <c r="L19" s="255">
        <v>26</v>
      </c>
      <c r="M19" s="13">
        <f t="shared" si="16"/>
        <v>1432.1495327102803</v>
      </c>
      <c r="N19" s="12">
        <f t="shared" si="3"/>
        <v>55.082674335010779</v>
      </c>
      <c r="O19" s="14">
        <f t="shared" si="4"/>
        <v>0</v>
      </c>
      <c r="P19" s="15">
        <f t="shared" si="5"/>
        <v>-2.6096333572969144</v>
      </c>
      <c r="Q19" s="256">
        <f t="shared" si="6"/>
        <v>0.95476635514018682</v>
      </c>
      <c r="R19" s="616"/>
      <c r="S19" s="32">
        <v>0.33680555555555558</v>
      </c>
      <c r="T19" s="32">
        <v>0.41111111111111115</v>
      </c>
      <c r="U19" s="257">
        <f t="shared" si="18"/>
        <v>4.9999999999999822</v>
      </c>
      <c r="V19" s="258">
        <f t="shared" si="17"/>
        <v>107.00000000000001</v>
      </c>
      <c r="W19" s="16"/>
      <c r="X19" s="16"/>
      <c r="Y19" s="16"/>
      <c r="Z19" s="16"/>
      <c r="AA19" s="612"/>
      <c r="AB19" s="612"/>
      <c r="AC19" s="18"/>
      <c r="AD19" s="18"/>
      <c r="AE19" s="14">
        <f t="shared" si="8"/>
        <v>-67.850467289719745</v>
      </c>
      <c r="AF19" s="256">
        <f t="shared" si="9"/>
        <v>0.95476635514018682</v>
      </c>
      <c r="AG19" s="616"/>
    </row>
    <row r="20" spans="1:33" ht="16.5" customHeight="1">
      <c r="A20" s="637" t="s">
        <v>1320</v>
      </c>
      <c r="B20" s="266" t="s">
        <v>5</v>
      </c>
      <c r="C20" s="659" t="s">
        <v>66</v>
      </c>
      <c r="D20" s="659"/>
      <c r="E20" s="27">
        <v>37.03</v>
      </c>
      <c r="F20" s="266">
        <v>2500</v>
      </c>
      <c r="G20" s="257">
        <f t="shared" si="15"/>
        <v>92575</v>
      </c>
      <c r="H20" s="31">
        <v>2</v>
      </c>
      <c r="I20" s="255">
        <v>13</v>
      </c>
      <c r="J20" s="29">
        <v>1500</v>
      </c>
      <c r="K20" s="12">
        <f t="shared" si="1"/>
        <v>115.38461538461539</v>
      </c>
      <c r="L20" s="255">
        <v>13</v>
      </c>
      <c r="M20" s="13">
        <f t="shared" si="16"/>
        <v>1442.3076923076919</v>
      </c>
      <c r="N20" s="12">
        <f t="shared" si="3"/>
        <v>110.94674556213015</v>
      </c>
      <c r="O20" s="14">
        <f t="shared" si="4"/>
        <v>0</v>
      </c>
      <c r="P20" s="15">
        <f t="shared" si="5"/>
        <v>-4.43786982248524</v>
      </c>
      <c r="Q20" s="256">
        <f t="shared" si="6"/>
        <v>0.96153846153846123</v>
      </c>
      <c r="R20" s="616"/>
      <c r="S20" s="32">
        <v>0.4152777777777778</v>
      </c>
      <c r="T20" s="32">
        <v>0.48750000000000004</v>
      </c>
      <c r="U20" s="257">
        <f t="shared" si="18"/>
        <v>5.9999999999999787</v>
      </c>
      <c r="V20" s="258">
        <f t="shared" si="17"/>
        <v>104.00000000000003</v>
      </c>
      <c r="W20" s="16">
        <f>T20</f>
        <v>0.48750000000000004</v>
      </c>
      <c r="X20" s="16">
        <f>S21</f>
        <v>0.52638888888888891</v>
      </c>
      <c r="Y20" s="16"/>
      <c r="Z20" s="16"/>
      <c r="AA20" s="612"/>
      <c r="AB20" s="612"/>
      <c r="AC20" s="18"/>
      <c r="AD20" s="18"/>
      <c r="AE20" s="14">
        <f t="shared" si="8"/>
        <v>-57.692307692308077</v>
      </c>
      <c r="AF20" s="256">
        <f t="shared" si="9"/>
        <v>0.96153846153846123</v>
      </c>
      <c r="AG20" s="616"/>
    </row>
    <row r="21" spans="1:33" ht="16.5" customHeight="1">
      <c r="A21" s="637" t="s">
        <v>1320</v>
      </c>
      <c r="B21" s="266" t="s">
        <v>5</v>
      </c>
      <c r="C21" s="268" t="s">
        <v>66</v>
      </c>
      <c r="D21" s="269"/>
      <c r="E21" s="27">
        <v>37.03</v>
      </c>
      <c r="F21" s="266">
        <v>1636</v>
      </c>
      <c r="G21" s="257">
        <f t="shared" si="15"/>
        <v>60581.08</v>
      </c>
      <c r="H21" s="31" t="s">
        <v>40</v>
      </c>
      <c r="I21" s="255">
        <v>13</v>
      </c>
      <c r="J21" s="29">
        <v>1500</v>
      </c>
      <c r="K21" s="12">
        <f t="shared" si="1"/>
        <v>115.38461538461539</v>
      </c>
      <c r="L21" s="255">
        <v>13</v>
      </c>
      <c r="M21" s="13">
        <f t="shared" si="16"/>
        <v>1443.5294117647077</v>
      </c>
      <c r="N21" s="12">
        <f t="shared" si="3"/>
        <v>111.04072398190058</v>
      </c>
      <c r="O21" s="14">
        <f t="shared" si="4"/>
        <v>0</v>
      </c>
      <c r="P21" s="15">
        <f t="shared" si="5"/>
        <v>-4.343891402714803</v>
      </c>
      <c r="Q21" s="256">
        <f t="shared" si="6"/>
        <v>0.96235294117647174</v>
      </c>
      <c r="R21" s="616"/>
      <c r="S21" s="32">
        <v>0.52638888888888891</v>
      </c>
      <c r="T21" s="32">
        <v>0.57361111111111107</v>
      </c>
      <c r="U21" s="257">
        <f t="shared" si="18"/>
        <v>55.999999999999957</v>
      </c>
      <c r="V21" s="258">
        <f t="shared" si="17"/>
        <v>67.999999999999915</v>
      </c>
      <c r="W21" s="16"/>
      <c r="X21" s="16"/>
      <c r="Y21" s="19"/>
      <c r="Z21" s="19"/>
      <c r="AA21" s="261"/>
      <c r="AB21" s="262"/>
      <c r="AC21" s="18"/>
      <c r="AD21" s="18"/>
      <c r="AE21" s="14">
        <f t="shared" si="8"/>
        <v>-56.470588235292325</v>
      </c>
      <c r="AF21" s="256">
        <f t="shared" si="9"/>
        <v>0.96235294117647174</v>
      </c>
      <c r="AG21" s="616"/>
    </row>
    <row r="22" spans="1:33" ht="16.5" customHeight="1">
      <c r="A22" s="637" t="s">
        <v>1320</v>
      </c>
      <c r="B22" s="266" t="s">
        <v>8</v>
      </c>
      <c r="C22" s="268" t="s">
        <v>63</v>
      </c>
      <c r="D22" s="269"/>
      <c r="E22" s="27">
        <v>39.46</v>
      </c>
      <c r="F22" s="266">
        <v>1692</v>
      </c>
      <c r="G22" s="257">
        <f t="shared" si="15"/>
        <v>66766.320000000007</v>
      </c>
      <c r="H22" s="31" t="s">
        <v>40</v>
      </c>
      <c r="I22" s="255">
        <v>15</v>
      </c>
      <c r="J22" s="29">
        <v>1500</v>
      </c>
      <c r="K22" s="12">
        <f t="shared" si="1"/>
        <v>100</v>
      </c>
      <c r="L22" s="255">
        <v>15</v>
      </c>
      <c r="M22" s="13">
        <f t="shared" si="16"/>
        <v>1429.8591549295761</v>
      </c>
      <c r="N22" s="12">
        <f t="shared" si="3"/>
        <v>95.32394366197174</v>
      </c>
      <c r="O22" s="14">
        <f t="shared" si="4"/>
        <v>0</v>
      </c>
      <c r="P22" s="15">
        <f t="shared" si="5"/>
        <v>-4.6760563380282605</v>
      </c>
      <c r="Q22" s="256">
        <f t="shared" si="6"/>
        <v>0.95323943661971744</v>
      </c>
      <c r="R22" s="616"/>
      <c r="S22" s="32">
        <v>0.57847222222222217</v>
      </c>
      <c r="T22" s="32">
        <v>0.62777777777777777</v>
      </c>
      <c r="U22" s="257">
        <f t="shared" si="18"/>
        <v>6.9999999999999751</v>
      </c>
      <c r="V22" s="258">
        <f t="shared" si="17"/>
        <v>71.000000000000071</v>
      </c>
      <c r="W22" s="16"/>
      <c r="X22" s="16"/>
      <c r="Y22" s="19"/>
      <c r="Z22" s="19"/>
      <c r="AA22" s="261"/>
      <c r="AB22" s="262"/>
      <c r="AC22" s="18"/>
      <c r="AD22" s="18"/>
      <c r="AE22" s="14">
        <f t="shared" si="8"/>
        <v>-70.140845070423893</v>
      </c>
      <c r="AF22" s="256">
        <f t="shared" si="9"/>
        <v>0.95323943661971744</v>
      </c>
      <c r="AG22" s="616"/>
    </row>
    <row r="23" spans="1:33" ht="16.5" customHeight="1">
      <c r="A23" s="637" t="s">
        <v>178</v>
      </c>
      <c r="B23" s="266" t="s">
        <v>5</v>
      </c>
      <c r="C23" s="268" t="s">
        <v>6</v>
      </c>
      <c r="D23" s="269"/>
      <c r="E23" s="27">
        <v>50.67</v>
      </c>
      <c r="F23" s="266">
        <v>2256</v>
      </c>
      <c r="G23" s="257">
        <f t="shared" si="15"/>
        <v>114311.52</v>
      </c>
      <c r="H23" s="31" t="s">
        <v>40</v>
      </c>
      <c r="I23" s="255">
        <v>17</v>
      </c>
      <c r="J23" s="29">
        <v>2000</v>
      </c>
      <c r="K23" s="12">
        <f t="shared" si="1"/>
        <v>117.64705882352941</v>
      </c>
      <c r="L23" s="255">
        <v>17</v>
      </c>
      <c r="M23" s="13">
        <f t="shared" si="16"/>
        <v>1906.4788732394347</v>
      </c>
      <c r="N23" s="12">
        <f t="shared" si="3"/>
        <v>112.14581607290792</v>
      </c>
      <c r="O23" s="14">
        <f t="shared" si="4"/>
        <v>0</v>
      </c>
      <c r="P23" s="15">
        <f t="shared" si="5"/>
        <v>-5.5012427506214863</v>
      </c>
      <c r="Q23" s="256">
        <f t="shared" si="6"/>
        <v>0.95323943661971733</v>
      </c>
      <c r="R23" s="616"/>
      <c r="S23" s="32">
        <v>0.70833333333333337</v>
      </c>
      <c r="T23" s="32">
        <v>0.75763888888888897</v>
      </c>
      <c r="U23" s="257" t="str">
        <f t="shared" si="18"/>
        <v/>
      </c>
      <c r="V23" s="258">
        <f t="shared" si="17"/>
        <v>71.000000000000071</v>
      </c>
      <c r="W23" s="16"/>
      <c r="X23" s="16"/>
      <c r="Y23" s="19"/>
      <c r="Z23" s="19"/>
      <c r="AA23" s="261"/>
      <c r="AB23" s="262"/>
      <c r="AC23" s="18"/>
      <c r="AD23" s="18"/>
      <c r="AE23" s="14">
        <f t="shared" si="8"/>
        <v>-93.521126760565267</v>
      </c>
      <c r="AF23" s="256">
        <f t="shared" si="9"/>
        <v>0.95323943661971733</v>
      </c>
      <c r="AG23" s="616"/>
    </row>
    <row r="24" spans="1:33" ht="16.5" customHeight="1">
      <c r="A24" s="637" t="s">
        <v>1320</v>
      </c>
      <c r="B24" s="266" t="s">
        <v>5</v>
      </c>
      <c r="C24" s="268" t="s">
        <v>615</v>
      </c>
      <c r="D24" s="269"/>
      <c r="E24" s="27">
        <v>54.5</v>
      </c>
      <c r="F24" s="266">
        <v>2855</v>
      </c>
      <c r="G24" s="257">
        <f t="shared" si="15"/>
        <v>155597.5</v>
      </c>
      <c r="H24" s="31" t="s">
        <v>40</v>
      </c>
      <c r="I24" s="255">
        <v>20</v>
      </c>
      <c r="J24" s="29">
        <v>1500</v>
      </c>
      <c r="K24" s="12">
        <f t="shared" si="1"/>
        <v>75</v>
      </c>
      <c r="L24" s="255">
        <v>20</v>
      </c>
      <c r="M24" s="13">
        <f t="shared" si="16"/>
        <v>1439.4957983193272</v>
      </c>
      <c r="N24" s="12">
        <f t="shared" si="3"/>
        <v>71.974789915966355</v>
      </c>
      <c r="O24" s="14">
        <f t="shared" si="4"/>
        <v>0</v>
      </c>
      <c r="P24" s="15">
        <f t="shared" si="5"/>
        <v>-3.0252100840336453</v>
      </c>
      <c r="Q24" s="256">
        <f t="shared" si="6"/>
        <v>0.95966386554621808</v>
      </c>
      <c r="R24" s="616"/>
      <c r="S24" s="32">
        <v>0.76111111111111118</v>
      </c>
      <c r="T24" s="32">
        <v>0.84375000000000011</v>
      </c>
      <c r="U24" s="257">
        <f t="shared" si="18"/>
        <v>4.9999999999999822</v>
      </c>
      <c r="V24" s="258">
        <f t="shared" si="17"/>
        <v>119.00000000000006</v>
      </c>
      <c r="W24" s="16"/>
      <c r="X24" s="16"/>
      <c r="Y24" s="19"/>
      <c r="Z24" s="19"/>
      <c r="AA24" s="261"/>
      <c r="AB24" s="262"/>
      <c r="AC24" s="18"/>
      <c r="AD24" s="18"/>
      <c r="AE24" s="14">
        <f t="shared" si="8"/>
        <v>-60.50420168067285</v>
      </c>
      <c r="AF24" s="256">
        <f t="shared" si="9"/>
        <v>0.95966386554621808</v>
      </c>
      <c r="AG24" s="616"/>
    </row>
    <row r="25" spans="1:33" ht="16.5" customHeight="1">
      <c r="A25" s="637" t="s">
        <v>1320</v>
      </c>
      <c r="B25" s="27" t="s">
        <v>1319</v>
      </c>
      <c r="C25" s="658"/>
      <c r="D25" s="658"/>
      <c r="E25" s="260"/>
      <c r="F25" s="28"/>
      <c r="G25" s="12"/>
      <c r="H25" s="266"/>
      <c r="I25" s="21">
        <v>17.333333333333332</v>
      </c>
      <c r="J25" s="29">
        <v>1666.6666666666667</v>
      </c>
      <c r="K25" s="12">
        <f t="shared" si="1"/>
        <v>96.15384615384616</v>
      </c>
      <c r="L25" s="21">
        <v>17.333333333333332</v>
      </c>
      <c r="M25" s="13">
        <f>AVERAGE(M16:M24)</f>
        <v>1594.303265337217</v>
      </c>
      <c r="N25" s="12">
        <f t="shared" si="3"/>
        <v>91.979034538685596</v>
      </c>
      <c r="O25" s="14">
        <f t="shared" si="4"/>
        <v>0</v>
      </c>
      <c r="P25" s="15">
        <f t="shared" si="5"/>
        <v>-4.1748116151605643</v>
      </c>
      <c r="Q25" s="256">
        <f t="shared" si="6"/>
        <v>0.95658195920233013</v>
      </c>
      <c r="R25" s="616"/>
      <c r="S25" s="32"/>
      <c r="T25" s="32"/>
      <c r="U25" s="257"/>
      <c r="V25" s="258"/>
      <c r="W25" s="12"/>
      <c r="X25" s="12"/>
      <c r="Y25" s="22">
        <f>SUM(Y16:Y24)</f>
        <v>0</v>
      </c>
      <c r="Z25" s="22">
        <f>SUM(Z16:Z24)</f>
        <v>0</v>
      </c>
      <c r="AA25" s="611"/>
      <c r="AB25" s="611"/>
      <c r="AC25" s="22">
        <v>9</v>
      </c>
      <c r="AD25" s="22">
        <f>SUM(AD16:AD24)</f>
        <v>0</v>
      </c>
      <c r="AE25" s="14">
        <f t="shared" si="8"/>
        <v>-72.363401329449744</v>
      </c>
      <c r="AF25" s="256">
        <f t="shared" si="9"/>
        <v>0.95658195920233013</v>
      </c>
      <c r="AG25" s="616"/>
    </row>
    <row r="26" spans="1:33" ht="15.75" customHeight="1">
      <c r="A26" s="634" t="s">
        <v>1321</v>
      </c>
      <c r="B26" s="27" t="s">
        <v>5</v>
      </c>
      <c r="C26" s="659" t="s">
        <v>16</v>
      </c>
      <c r="D26" s="659"/>
      <c r="E26" s="27">
        <v>50.67</v>
      </c>
      <c r="F26" s="266">
        <v>2322</v>
      </c>
      <c r="G26" s="257">
        <f t="shared" ref="G26:G32" si="19">E26*F26</f>
        <v>117655.74</v>
      </c>
      <c r="H26" s="31" t="s">
        <v>40</v>
      </c>
      <c r="I26" s="255">
        <v>17</v>
      </c>
      <c r="J26" s="29">
        <v>2000</v>
      </c>
      <c r="K26" s="12">
        <f t="shared" si="1"/>
        <v>117.64705882352941</v>
      </c>
      <c r="L26" s="255">
        <v>17</v>
      </c>
      <c r="M26" s="13">
        <f t="shared" ref="M26:M32" si="20">F26/V26*60</f>
        <v>1908.4931506849312</v>
      </c>
      <c r="N26" s="12">
        <f t="shared" si="3"/>
        <v>112.26430298146654</v>
      </c>
      <c r="O26" s="14">
        <f t="shared" si="4"/>
        <v>0</v>
      </c>
      <c r="P26" s="15">
        <f t="shared" si="5"/>
        <v>-5.3827558420628634</v>
      </c>
      <c r="Q26" s="256">
        <f t="shared" si="6"/>
        <v>0.95424657534246571</v>
      </c>
      <c r="R26" s="616">
        <f>Q33</f>
        <v>0.95436651183238674</v>
      </c>
      <c r="S26" s="32">
        <v>0.20833333333333334</v>
      </c>
      <c r="T26" s="32">
        <v>0.2590277777777778</v>
      </c>
      <c r="U26" s="257"/>
      <c r="V26" s="258">
        <f t="shared" ref="V26:V32" si="21">(T26-S26)*24*60</f>
        <v>73.000000000000014</v>
      </c>
      <c r="W26" s="16"/>
      <c r="X26" s="16"/>
      <c r="Y26" s="20"/>
      <c r="Z26" s="20"/>
      <c r="AA26" s="612"/>
      <c r="AB26" s="612"/>
      <c r="AC26" s="18">
        <v>7</v>
      </c>
      <c r="AD26" s="18"/>
      <c r="AE26" s="14">
        <f t="shared" si="8"/>
        <v>-91.506849315068848</v>
      </c>
      <c r="AF26" s="256">
        <f t="shared" si="9"/>
        <v>0.9542465753424656</v>
      </c>
      <c r="AG26" s="616">
        <f>AF33</f>
        <v>0.95436651183238674</v>
      </c>
    </row>
    <row r="27" spans="1:33" ht="15.75" customHeight="1">
      <c r="A27" s="635" t="s">
        <v>1321</v>
      </c>
      <c r="B27" s="27" t="s">
        <v>5</v>
      </c>
      <c r="C27" s="659" t="s">
        <v>17</v>
      </c>
      <c r="D27" s="659"/>
      <c r="E27" s="27">
        <v>57.73</v>
      </c>
      <c r="F27" s="266">
        <v>3078</v>
      </c>
      <c r="G27" s="257">
        <f t="shared" si="19"/>
        <v>177692.94</v>
      </c>
      <c r="H27" s="31" t="s">
        <v>40</v>
      </c>
      <c r="I27" s="255">
        <v>14</v>
      </c>
      <c r="J27" s="29">
        <v>2000</v>
      </c>
      <c r="K27" s="12">
        <f t="shared" si="1"/>
        <v>142.85714285714286</v>
      </c>
      <c r="L27" s="255">
        <v>14</v>
      </c>
      <c r="M27" s="13">
        <f t="shared" si="20"/>
        <v>1903.9175257731963</v>
      </c>
      <c r="N27" s="12">
        <f t="shared" si="3"/>
        <v>135.99410898379975</v>
      </c>
      <c r="O27" s="14">
        <f t="shared" si="4"/>
        <v>0</v>
      </c>
      <c r="P27" s="15">
        <f t="shared" si="5"/>
        <v>-6.8630338733431131</v>
      </c>
      <c r="Q27" s="256">
        <f t="shared" si="6"/>
        <v>0.9519587628865982</v>
      </c>
      <c r="R27" s="616"/>
      <c r="S27" s="32">
        <v>0.26319444444444445</v>
      </c>
      <c r="T27" s="32">
        <v>0.33055555555555555</v>
      </c>
      <c r="U27" s="257">
        <f t="shared" ref="U27:U32" si="22">IF(S27=TIME(17,0,0),"",(S27-T26)*24*60)</f>
        <v>5.9999999999999787</v>
      </c>
      <c r="V27" s="258">
        <f t="shared" si="21"/>
        <v>96.999999999999972</v>
      </c>
      <c r="W27" s="16"/>
      <c r="X27" s="257"/>
      <c r="Y27" s="257"/>
      <c r="Z27" s="257"/>
      <c r="AA27" s="612"/>
      <c r="AB27" s="612"/>
      <c r="AC27" s="18"/>
      <c r="AD27" s="18"/>
      <c r="AE27" s="14">
        <f t="shared" si="8"/>
        <v>-96.082474226803697</v>
      </c>
      <c r="AF27" s="256">
        <f t="shared" si="9"/>
        <v>0.9519587628865982</v>
      </c>
      <c r="AG27" s="616"/>
    </row>
    <row r="28" spans="1:33" ht="15.75" customHeight="1">
      <c r="A28" s="635" t="s">
        <v>1321</v>
      </c>
      <c r="B28" s="27" t="s">
        <v>5</v>
      </c>
      <c r="C28" s="659" t="s">
        <v>60</v>
      </c>
      <c r="D28" s="659"/>
      <c r="E28" s="27">
        <v>53.27</v>
      </c>
      <c r="F28" s="266">
        <v>2100</v>
      </c>
      <c r="G28" s="257">
        <f t="shared" si="19"/>
        <v>111867</v>
      </c>
      <c r="H28" s="31" t="s">
        <v>40</v>
      </c>
      <c r="I28" s="255">
        <v>16</v>
      </c>
      <c r="J28" s="29">
        <v>2000</v>
      </c>
      <c r="K28" s="12">
        <f t="shared" si="1"/>
        <v>125</v>
      </c>
      <c r="L28" s="255">
        <v>16</v>
      </c>
      <c r="M28" s="13">
        <f t="shared" si="20"/>
        <v>1909.090909090909</v>
      </c>
      <c r="N28" s="12">
        <f t="shared" si="3"/>
        <v>119.31818181818181</v>
      </c>
      <c r="O28" s="14">
        <f t="shared" si="4"/>
        <v>0</v>
      </c>
      <c r="P28" s="15">
        <f t="shared" si="5"/>
        <v>-5.681818181818187</v>
      </c>
      <c r="Q28" s="256">
        <f t="shared" si="6"/>
        <v>0.95454545454545447</v>
      </c>
      <c r="R28" s="616"/>
      <c r="S28" s="32">
        <v>0.33541666666666664</v>
      </c>
      <c r="T28" s="32">
        <v>0.38124999999999998</v>
      </c>
      <c r="U28" s="257">
        <f t="shared" si="22"/>
        <v>6.9999999999999751</v>
      </c>
      <c r="V28" s="258">
        <f t="shared" si="21"/>
        <v>66</v>
      </c>
      <c r="W28" s="16"/>
      <c r="X28" s="257"/>
      <c r="Y28" s="257"/>
      <c r="Z28" s="257"/>
      <c r="AA28" s="612"/>
      <c r="AB28" s="612"/>
      <c r="AC28" s="18"/>
      <c r="AD28" s="18"/>
      <c r="AE28" s="14">
        <f t="shared" si="8"/>
        <v>-90.909090909090992</v>
      </c>
      <c r="AF28" s="256">
        <f t="shared" si="9"/>
        <v>0.95454545454545447</v>
      </c>
      <c r="AG28" s="616"/>
    </row>
    <row r="29" spans="1:33" ht="15.75" customHeight="1">
      <c r="A29" s="635" t="s">
        <v>179</v>
      </c>
      <c r="B29" s="27" t="s">
        <v>5</v>
      </c>
      <c r="C29" s="659" t="s">
        <v>18</v>
      </c>
      <c r="D29" s="659"/>
      <c r="E29" s="27">
        <v>50.49</v>
      </c>
      <c r="F29" s="266">
        <v>2647</v>
      </c>
      <c r="G29" s="257">
        <f t="shared" si="19"/>
        <v>133647.03</v>
      </c>
      <c r="H29" s="31" t="s">
        <v>40</v>
      </c>
      <c r="I29" s="255">
        <v>15</v>
      </c>
      <c r="J29" s="29">
        <v>2000</v>
      </c>
      <c r="K29" s="12">
        <f t="shared" si="1"/>
        <v>133.33333333333334</v>
      </c>
      <c r="L29" s="255">
        <v>15</v>
      </c>
      <c r="M29" s="13">
        <f t="shared" si="20"/>
        <v>1913.4939759036138</v>
      </c>
      <c r="N29" s="12">
        <f t="shared" si="3"/>
        <v>127.56626506024092</v>
      </c>
      <c r="O29" s="14">
        <f t="shared" si="4"/>
        <v>0</v>
      </c>
      <c r="P29" s="15">
        <f t="shared" si="5"/>
        <v>-5.7670682730924199</v>
      </c>
      <c r="Q29" s="256">
        <f t="shared" si="6"/>
        <v>0.9567469879518069</v>
      </c>
      <c r="R29" s="616"/>
      <c r="S29" s="32">
        <v>0.70833333333333337</v>
      </c>
      <c r="T29" s="32">
        <v>0.76597222222222228</v>
      </c>
      <c r="U29" s="257" t="str">
        <f t="shared" si="22"/>
        <v/>
      </c>
      <c r="V29" s="258">
        <f t="shared" si="21"/>
        <v>83.000000000000028</v>
      </c>
      <c r="W29" s="16"/>
      <c r="X29" s="257"/>
      <c r="Y29" s="257"/>
      <c r="Z29" s="257"/>
      <c r="AA29" s="612"/>
      <c r="AB29" s="612"/>
      <c r="AC29" s="18"/>
      <c r="AD29" s="18"/>
      <c r="AE29" s="14">
        <f t="shared" si="8"/>
        <v>-86.506024096386227</v>
      </c>
      <c r="AF29" s="256">
        <f t="shared" si="9"/>
        <v>0.9567469879518069</v>
      </c>
      <c r="AG29" s="616"/>
    </row>
    <row r="30" spans="1:33" ht="15.75" customHeight="1">
      <c r="A30" s="635" t="s">
        <v>1321</v>
      </c>
      <c r="B30" s="27" t="s">
        <v>5</v>
      </c>
      <c r="C30" s="659" t="s">
        <v>65</v>
      </c>
      <c r="D30" s="659"/>
      <c r="E30" s="27">
        <v>56.43</v>
      </c>
      <c r="F30" s="266">
        <v>2031</v>
      </c>
      <c r="G30" s="257">
        <f t="shared" si="19"/>
        <v>114609.33</v>
      </c>
      <c r="H30" s="31" t="s">
        <v>40</v>
      </c>
      <c r="I30" s="255">
        <v>13</v>
      </c>
      <c r="J30" s="29">
        <v>2000</v>
      </c>
      <c r="K30" s="12">
        <f t="shared" si="1"/>
        <v>153.84615384615384</v>
      </c>
      <c r="L30" s="255">
        <v>13</v>
      </c>
      <c r="M30" s="13">
        <f t="shared" si="20"/>
        <v>1904.062500000002</v>
      </c>
      <c r="N30" s="12">
        <f t="shared" si="3"/>
        <v>146.4663461538463</v>
      </c>
      <c r="O30" s="14">
        <f t="shared" si="4"/>
        <v>0</v>
      </c>
      <c r="P30" s="15">
        <f t="shared" si="5"/>
        <v>-7.3798076923075371</v>
      </c>
      <c r="Q30" s="256">
        <f t="shared" si="6"/>
        <v>0.95203125000000099</v>
      </c>
      <c r="R30" s="616"/>
      <c r="S30" s="32">
        <v>0.77013888888888893</v>
      </c>
      <c r="T30" s="32">
        <v>0.81458333333333333</v>
      </c>
      <c r="U30" s="257">
        <f t="shared" si="22"/>
        <v>5.9999999999999787</v>
      </c>
      <c r="V30" s="258">
        <f t="shared" si="21"/>
        <v>63.999999999999929</v>
      </c>
      <c r="W30" s="16"/>
      <c r="X30" s="16"/>
      <c r="Y30" s="257"/>
      <c r="Z30" s="257"/>
      <c r="AA30" s="612"/>
      <c r="AB30" s="612"/>
      <c r="AC30" s="18"/>
      <c r="AD30" s="18"/>
      <c r="AE30" s="14">
        <f t="shared" si="8"/>
        <v>-95.937499999997954</v>
      </c>
      <c r="AF30" s="256">
        <f t="shared" si="9"/>
        <v>0.95203125000000099</v>
      </c>
      <c r="AG30" s="616"/>
    </row>
    <row r="31" spans="1:33" ht="15.75" customHeight="1">
      <c r="A31" s="635" t="s">
        <v>1321</v>
      </c>
      <c r="B31" s="27" t="s">
        <v>5</v>
      </c>
      <c r="C31" s="659" t="s">
        <v>1322</v>
      </c>
      <c r="D31" s="659"/>
      <c r="E31" s="27">
        <v>54.09</v>
      </c>
      <c r="F31" s="266">
        <v>1500</v>
      </c>
      <c r="G31" s="257">
        <f t="shared" si="19"/>
        <v>81135</v>
      </c>
      <c r="H31" s="31">
        <v>2</v>
      </c>
      <c r="I31" s="255">
        <v>18</v>
      </c>
      <c r="J31" s="29">
        <v>2000</v>
      </c>
      <c r="K31" s="12">
        <f t="shared" si="1"/>
        <v>111.11111111111111</v>
      </c>
      <c r="L31" s="255">
        <v>18</v>
      </c>
      <c r="M31" s="13">
        <f t="shared" si="20"/>
        <v>1914.8936170212769</v>
      </c>
      <c r="N31" s="12">
        <f t="shared" si="3"/>
        <v>106.38297872340428</v>
      </c>
      <c r="O31" s="14">
        <f t="shared" si="4"/>
        <v>0</v>
      </c>
      <c r="P31" s="15">
        <f t="shared" si="5"/>
        <v>-4.728132387706836</v>
      </c>
      <c r="Q31" s="256">
        <f t="shared" si="6"/>
        <v>0.95744680851063846</v>
      </c>
      <c r="R31" s="616"/>
      <c r="S31" s="32">
        <v>0.81805555555555554</v>
      </c>
      <c r="T31" s="32">
        <v>0.85069444444444442</v>
      </c>
      <c r="U31" s="257">
        <f t="shared" si="22"/>
        <v>4.9999999999999822</v>
      </c>
      <c r="V31" s="258">
        <f t="shared" si="21"/>
        <v>46.999999999999993</v>
      </c>
      <c r="W31" s="16">
        <f>T31</f>
        <v>0.85069444444444442</v>
      </c>
      <c r="X31" s="16">
        <f>S32</f>
        <v>0.89166666666666661</v>
      </c>
      <c r="Y31" s="20"/>
      <c r="Z31" s="20"/>
      <c r="AA31" s="612"/>
      <c r="AB31" s="612"/>
      <c r="AC31" s="18"/>
      <c r="AD31" s="18"/>
      <c r="AE31" s="14">
        <f t="shared" si="8"/>
        <v>-85.106382978723104</v>
      </c>
      <c r="AF31" s="256">
        <f t="shared" si="9"/>
        <v>0.95744680851063846</v>
      </c>
      <c r="AG31" s="616"/>
    </row>
    <row r="32" spans="1:33" ht="15.75" customHeight="1">
      <c r="A32" s="635" t="s">
        <v>1321</v>
      </c>
      <c r="B32" s="27" t="s">
        <v>5</v>
      </c>
      <c r="C32" s="631" t="s">
        <v>1322</v>
      </c>
      <c r="D32" s="632"/>
      <c r="E32" s="27">
        <v>54.09</v>
      </c>
      <c r="F32" s="266">
        <v>3719</v>
      </c>
      <c r="G32" s="257">
        <f t="shared" si="19"/>
        <v>201160.71000000002</v>
      </c>
      <c r="H32" s="31" t="s">
        <v>40</v>
      </c>
      <c r="I32" s="255">
        <v>18</v>
      </c>
      <c r="J32" s="29">
        <v>2000</v>
      </c>
      <c r="K32" s="12">
        <f t="shared" si="1"/>
        <v>111.11111111111111</v>
      </c>
      <c r="L32" s="255">
        <v>18</v>
      </c>
      <c r="M32" s="13">
        <f t="shared" si="20"/>
        <v>1907.1794871794862</v>
      </c>
      <c r="N32" s="12">
        <f t="shared" si="3"/>
        <v>105.95441595441589</v>
      </c>
      <c r="O32" s="14">
        <f t="shared" si="4"/>
        <v>0</v>
      </c>
      <c r="P32" s="15">
        <f t="shared" si="5"/>
        <v>-5.1566951566952213</v>
      </c>
      <c r="Q32" s="256">
        <f t="shared" si="6"/>
        <v>0.95358974358974302</v>
      </c>
      <c r="R32" s="616"/>
      <c r="S32" s="32">
        <v>0.89166666666666661</v>
      </c>
      <c r="T32" s="32">
        <v>0.97291666666666665</v>
      </c>
      <c r="U32" s="257">
        <f t="shared" si="22"/>
        <v>58.99999999999995</v>
      </c>
      <c r="V32" s="258">
        <f t="shared" si="21"/>
        <v>117.00000000000006</v>
      </c>
      <c r="W32" s="16"/>
      <c r="X32" s="20"/>
      <c r="Y32" s="270"/>
      <c r="Z32" s="270"/>
      <c r="AA32" s="607"/>
      <c r="AB32" s="608"/>
      <c r="AC32" s="18"/>
      <c r="AD32" s="18"/>
      <c r="AE32" s="14">
        <f t="shared" si="8"/>
        <v>-92.820512820513841</v>
      </c>
      <c r="AF32" s="256">
        <f t="shared" si="9"/>
        <v>0.95358974358974313</v>
      </c>
      <c r="AG32" s="616"/>
    </row>
    <row r="33" spans="1:33" ht="15.75" customHeight="1">
      <c r="A33" s="635" t="s">
        <v>1321</v>
      </c>
      <c r="B33" s="27" t="s">
        <v>1319</v>
      </c>
      <c r="C33" s="658"/>
      <c r="D33" s="658"/>
      <c r="E33" s="260"/>
      <c r="F33" s="266"/>
      <c r="G33" s="257"/>
      <c r="H33" s="266"/>
      <c r="I33" s="21">
        <v>15.857142857142858</v>
      </c>
      <c r="J33" s="29">
        <v>2000</v>
      </c>
      <c r="K33" s="12">
        <f t="shared" si="1"/>
        <v>126.12612612612612</v>
      </c>
      <c r="L33" s="21">
        <v>15.857142857142858</v>
      </c>
      <c r="M33" s="13">
        <f>AVERAGE(M26:M32)</f>
        <v>1908.7330236647736</v>
      </c>
      <c r="N33" s="12">
        <f t="shared" si="3"/>
        <v>120.37055104192265</v>
      </c>
      <c r="O33" s="14">
        <f t="shared" si="4"/>
        <v>0</v>
      </c>
      <c r="P33" s="15">
        <f t="shared" si="5"/>
        <v>-5.7555750842034712</v>
      </c>
      <c r="Q33" s="256">
        <f t="shared" si="6"/>
        <v>0.95436651183238674</v>
      </c>
      <c r="R33" s="616"/>
      <c r="S33" s="32"/>
      <c r="T33" s="32"/>
      <c r="U33" s="12"/>
      <c r="V33" s="258"/>
      <c r="W33" s="12"/>
      <c r="X33" s="12"/>
      <c r="Y33" s="22">
        <f>SUM(Y26:Y32)</f>
        <v>0</v>
      </c>
      <c r="Z33" s="22">
        <f>SUM(Z26:Z32)</f>
        <v>0</v>
      </c>
      <c r="AA33" s="611"/>
      <c r="AB33" s="611"/>
      <c r="AC33" s="22">
        <v>7</v>
      </c>
      <c r="AD33" s="22">
        <f>SUM(AD26:AD32)</f>
        <v>0</v>
      </c>
      <c r="AE33" s="14">
        <f t="shared" si="8"/>
        <v>-91.266976335226445</v>
      </c>
      <c r="AF33" s="256">
        <f t="shared" si="9"/>
        <v>0.95436651183238674</v>
      </c>
      <c r="AG33" s="616"/>
    </row>
    <row r="34" spans="1:33" ht="15.75" customHeight="1">
      <c r="A34" s="633" t="s">
        <v>180</v>
      </c>
      <c r="B34" s="27" t="s">
        <v>20</v>
      </c>
      <c r="C34" s="659" t="s">
        <v>21</v>
      </c>
      <c r="D34" s="659"/>
      <c r="E34" s="27">
        <v>31.29</v>
      </c>
      <c r="F34" s="266">
        <v>5800</v>
      </c>
      <c r="G34" s="257">
        <f t="shared" ref="G34:G40" si="23">E34*F34</f>
        <v>181482</v>
      </c>
      <c r="H34" s="31">
        <v>2</v>
      </c>
      <c r="I34" s="255">
        <v>18</v>
      </c>
      <c r="J34" s="29">
        <v>2400</v>
      </c>
      <c r="K34" s="12">
        <f t="shared" si="1"/>
        <v>133.33333333333334</v>
      </c>
      <c r="L34" s="255">
        <v>18</v>
      </c>
      <c r="M34" s="13">
        <f t="shared" ref="M34:M40" si="24">F34/V34*60</f>
        <v>2289.4736842105262</v>
      </c>
      <c r="N34" s="12">
        <f t="shared" si="3"/>
        <v>127.19298245614034</v>
      </c>
      <c r="O34" s="14">
        <f t="shared" si="4"/>
        <v>0</v>
      </c>
      <c r="P34" s="15">
        <f t="shared" si="5"/>
        <v>-6.1403508771930007</v>
      </c>
      <c r="Q34" s="256">
        <f t="shared" si="6"/>
        <v>0.95394736842105254</v>
      </c>
      <c r="R34" s="616">
        <f>Q41</f>
        <v>0.9567610728544077</v>
      </c>
      <c r="S34" s="32">
        <v>8.3333333333333329E-2</v>
      </c>
      <c r="T34" s="32">
        <v>0.18888888888888888</v>
      </c>
      <c r="U34" s="257"/>
      <c r="V34" s="258">
        <f t="shared" ref="V34:V40" si="25">(T34-S34)*24*60</f>
        <v>152</v>
      </c>
      <c r="W34" s="16">
        <f>T34</f>
        <v>0.18888888888888888</v>
      </c>
      <c r="X34" s="16">
        <f>S35</f>
        <v>0.20972222222222223</v>
      </c>
      <c r="Y34" s="16"/>
      <c r="Z34" s="16"/>
      <c r="AA34" s="612"/>
      <c r="AB34" s="612"/>
      <c r="AC34" s="18">
        <v>7</v>
      </c>
      <c r="AD34" s="18"/>
      <c r="AE34" s="14">
        <f t="shared" si="8"/>
        <v>-110.52631578947376</v>
      </c>
      <c r="AF34" s="256">
        <f t="shared" si="9"/>
        <v>0.95394736842105265</v>
      </c>
      <c r="AG34" s="616">
        <f>AF41</f>
        <v>0.95676107285440759</v>
      </c>
    </row>
    <row r="35" spans="1:33" ht="15.75" customHeight="1">
      <c r="A35" s="633" t="s">
        <v>1323</v>
      </c>
      <c r="B35" s="27" t="s">
        <v>20</v>
      </c>
      <c r="C35" s="659" t="s">
        <v>22</v>
      </c>
      <c r="D35" s="659"/>
      <c r="E35" s="27">
        <v>26.37</v>
      </c>
      <c r="F35" s="266">
        <v>4000</v>
      </c>
      <c r="G35" s="257">
        <f t="shared" si="23"/>
        <v>105480</v>
      </c>
      <c r="H35" s="31">
        <v>2</v>
      </c>
      <c r="I35" s="255">
        <v>18</v>
      </c>
      <c r="J35" s="29">
        <v>2400</v>
      </c>
      <c r="K35" s="12">
        <f t="shared" si="1"/>
        <v>133.33333333333334</v>
      </c>
      <c r="L35" s="255">
        <v>18</v>
      </c>
      <c r="M35" s="13">
        <f t="shared" si="24"/>
        <v>2285.7142857142862</v>
      </c>
      <c r="N35" s="12">
        <f t="shared" si="3"/>
        <v>126.98412698412702</v>
      </c>
      <c r="O35" s="14">
        <f t="shared" si="4"/>
        <v>0</v>
      </c>
      <c r="P35" s="15">
        <f t="shared" si="5"/>
        <v>-6.3492063492063266</v>
      </c>
      <c r="Q35" s="256">
        <f t="shared" si="6"/>
        <v>0.95238095238095255</v>
      </c>
      <c r="R35" s="616"/>
      <c r="S35" s="32">
        <v>0.20972222222222223</v>
      </c>
      <c r="T35" s="32">
        <v>0.28263888888888888</v>
      </c>
      <c r="U35" s="257">
        <f t="shared" ref="U35:U40" si="26">(S35-T34)*24*60</f>
        <v>30.000000000000014</v>
      </c>
      <c r="V35" s="258">
        <f t="shared" si="25"/>
        <v>104.99999999999999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-114.28571428571377</v>
      </c>
      <c r="AF35" s="256">
        <f t="shared" si="9"/>
        <v>0.95238095238095255</v>
      </c>
      <c r="AG35" s="616"/>
    </row>
    <row r="36" spans="1:33" ht="15.75" customHeight="1">
      <c r="A36" s="633" t="s">
        <v>1323</v>
      </c>
      <c r="B36" s="27" t="s">
        <v>20</v>
      </c>
      <c r="C36" s="659" t="s">
        <v>57</v>
      </c>
      <c r="D36" s="659"/>
      <c r="E36" s="27">
        <v>26.18</v>
      </c>
      <c r="F36" s="266">
        <v>4900</v>
      </c>
      <c r="G36" s="257">
        <f t="shared" si="23"/>
        <v>128282</v>
      </c>
      <c r="H36" s="31">
        <v>2</v>
      </c>
      <c r="I36" s="255">
        <v>18</v>
      </c>
      <c r="J36" s="29">
        <v>2400</v>
      </c>
      <c r="K36" s="12">
        <f t="shared" si="1"/>
        <v>133.33333333333334</v>
      </c>
      <c r="L36" s="255">
        <v>18</v>
      </c>
      <c r="M36" s="13">
        <f t="shared" si="24"/>
        <v>2296.8749999999995</v>
      </c>
      <c r="N36" s="12">
        <f t="shared" si="3"/>
        <v>127.60416666666664</v>
      </c>
      <c r="O36" s="14">
        <f t="shared" si="4"/>
        <v>0</v>
      </c>
      <c r="P36" s="15">
        <f t="shared" si="5"/>
        <v>-5.7291666666666998</v>
      </c>
      <c r="Q36" s="256">
        <f t="shared" si="6"/>
        <v>0.95703124999999978</v>
      </c>
      <c r="R36" s="616"/>
      <c r="S36" s="32">
        <v>0.28819444444444442</v>
      </c>
      <c r="T36" s="32">
        <v>0.37708333333333333</v>
      </c>
      <c r="U36" s="257">
        <f t="shared" si="26"/>
        <v>7.9999999999999716</v>
      </c>
      <c r="V36" s="258">
        <f t="shared" si="25"/>
        <v>128.00000000000003</v>
      </c>
      <c r="W36" s="16"/>
      <c r="X36" s="16"/>
      <c r="Y36" s="16"/>
      <c r="Z36" s="16"/>
      <c r="AA36" s="612"/>
      <c r="AB36" s="612"/>
      <c r="AC36" s="18"/>
      <c r="AD36" s="18"/>
      <c r="AE36" s="14">
        <f t="shared" si="8"/>
        <v>-103.12500000000045</v>
      </c>
      <c r="AF36" s="256">
        <f t="shared" si="9"/>
        <v>0.95703124999999978</v>
      </c>
      <c r="AG36" s="616"/>
    </row>
    <row r="37" spans="1:33" ht="15.75" customHeight="1">
      <c r="A37" s="633" t="s">
        <v>1323</v>
      </c>
      <c r="B37" s="27" t="s">
        <v>20</v>
      </c>
      <c r="C37" s="659" t="s">
        <v>59</v>
      </c>
      <c r="D37" s="659"/>
      <c r="E37" s="27">
        <v>25.99</v>
      </c>
      <c r="F37" s="266">
        <v>1549</v>
      </c>
      <c r="G37" s="257">
        <f t="shared" si="23"/>
        <v>40258.509999999995</v>
      </c>
      <c r="H37" s="31" t="s">
        <v>40</v>
      </c>
      <c r="I37" s="255">
        <v>18</v>
      </c>
      <c r="J37" s="29">
        <v>2400</v>
      </c>
      <c r="K37" s="12">
        <f t="shared" si="1"/>
        <v>133.33333333333334</v>
      </c>
      <c r="L37" s="255">
        <v>18</v>
      </c>
      <c r="M37" s="13">
        <f t="shared" si="24"/>
        <v>2323.4999999999991</v>
      </c>
      <c r="N37" s="12">
        <f t="shared" si="3"/>
        <v>129.08333333333329</v>
      </c>
      <c r="O37" s="14">
        <f t="shared" si="4"/>
        <v>0</v>
      </c>
      <c r="P37" s="15">
        <f t="shared" si="5"/>
        <v>-4.2500000000000568</v>
      </c>
      <c r="Q37" s="256">
        <f t="shared" si="6"/>
        <v>0.96812499999999957</v>
      </c>
      <c r="R37" s="616"/>
      <c r="S37" s="32">
        <v>0.38055555555555554</v>
      </c>
      <c r="T37" s="32">
        <v>0.40833333333333333</v>
      </c>
      <c r="U37" s="257">
        <f t="shared" si="26"/>
        <v>4.9999999999999822</v>
      </c>
      <c r="V37" s="258">
        <f t="shared" si="25"/>
        <v>40.000000000000014</v>
      </c>
      <c r="W37" s="16"/>
      <c r="X37" s="16"/>
      <c r="Y37" s="16"/>
      <c r="Z37" s="16"/>
      <c r="AA37" s="612"/>
      <c r="AB37" s="612"/>
      <c r="AC37" s="18"/>
      <c r="AD37" s="18"/>
      <c r="AE37" s="14">
        <f t="shared" si="8"/>
        <v>-76.500000000000909</v>
      </c>
      <c r="AF37" s="256">
        <f t="shared" si="9"/>
        <v>0.96812499999999957</v>
      </c>
      <c r="AG37" s="616"/>
    </row>
    <row r="38" spans="1:33" ht="15.75" customHeight="1">
      <c r="A38" s="633" t="s">
        <v>1323</v>
      </c>
      <c r="B38" s="27" t="s">
        <v>20</v>
      </c>
      <c r="C38" s="659" t="s">
        <v>23</v>
      </c>
      <c r="D38" s="659"/>
      <c r="E38" s="27">
        <v>25.99</v>
      </c>
      <c r="F38" s="266">
        <v>4155</v>
      </c>
      <c r="G38" s="257">
        <f t="shared" si="23"/>
        <v>107988.45</v>
      </c>
      <c r="H38" s="31" t="s">
        <v>40</v>
      </c>
      <c r="I38" s="255">
        <v>14</v>
      </c>
      <c r="J38" s="29">
        <v>2400</v>
      </c>
      <c r="K38" s="12">
        <f t="shared" si="1"/>
        <v>171.42857142857142</v>
      </c>
      <c r="L38" s="255">
        <v>14</v>
      </c>
      <c r="M38" s="13">
        <f t="shared" si="24"/>
        <v>2287.1559633027523</v>
      </c>
      <c r="N38" s="12">
        <f t="shared" si="3"/>
        <v>163.36828309305375</v>
      </c>
      <c r="O38" s="14">
        <f t="shared" si="4"/>
        <v>0</v>
      </c>
      <c r="P38" s="15">
        <f t="shared" si="5"/>
        <v>-8.0602883355176687</v>
      </c>
      <c r="Q38" s="256">
        <f t="shared" si="6"/>
        <v>0.95298165137614688</v>
      </c>
      <c r="R38" s="616"/>
      <c r="S38" s="32">
        <v>0.41180555555555554</v>
      </c>
      <c r="T38" s="32">
        <v>0.48749999999999999</v>
      </c>
      <c r="U38" s="257">
        <f t="shared" si="26"/>
        <v>4.9999999999999822</v>
      </c>
      <c r="V38" s="258">
        <f t="shared" si="25"/>
        <v>109.00000000000001</v>
      </c>
      <c r="W38" s="16">
        <f>T38</f>
        <v>0.48749999999999999</v>
      </c>
      <c r="X38" s="16">
        <f>S39</f>
        <v>0.52708333333333324</v>
      </c>
      <c r="Y38" s="16"/>
      <c r="Z38" s="16"/>
      <c r="AA38" s="612"/>
      <c r="AB38" s="612"/>
      <c r="AC38" s="18"/>
      <c r="AD38" s="18"/>
      <c r="AE38" s="14">
        <f t="shared" si="8"/>
        <v>-112.8440366972477</v>
      </c>
      <c r="AF38" s="256">
        <f t="shared" si="9"/>
        <v>0.95298165137614677</v>
      </c>
      <c r="AG38" s="616"/>
    </row>
    <row r="39" spans="1:33" ht="15.75" customHeight="1">
      <c r="A39" s="633" t="s">
        <v>1323</v>
      </c>
      <c r="B39" s="27" t="s">
        <v>20</v>
      </c>
      <c r="C39" s="659" t="s">
        <v>21</v>
      </c>
      <c r="D39" s="659"/>
      <c r="E39" s="27">
        <v>31.29</v>
      </c>
      <c r="F39" s="266">
        <v>3922</v>
      </c>
      <c r="G39" s="257">
        <f t="shared" si="23"/>
        <v>122719.37999999999</v>
      </c>
      <c r="H39" s="31" t="s">
        <v>40</v>
      </c>
      <c r="I39" s="255">
        <v>18</v>
      </c>
      <c r="J39" s="29">
        <v>2400</v>
      </c>
      <c r="K39" s="12">
        <f t="shared" si="1"/>
        <v>133.33333333333334</v>
      </c>
      <c r="L39" s="255">
        <v>18</v>
      </c>
      <c r="M39" s="13">
        <f t="shared" si="24"/>
        <v>2284.6601941747585</v>
      </c>
      <c r="N39" s="12">
        <f t="shared" si="3"/>
        <v>126.92556634304214</v>
      </c>
      <c r="O39" s="14">
        <f t="shared" si="4"/>
        <v>0</v>
      </c>
      <c r="P39" s="15">
        <f t="shared" si="5"/>
        <v>-6.4077669902912078</v>
      </c>
      <c r="Q39" s="256">
        <f t="shared" si="6"/>
        <v>0.95194174757281591</v>
      </c>
      <c r="R39" s="616"/>
      <c r="S39" s="32">
        <v>0.52708333333333324</v>
      </c>
      <c r="T39" s="32">
        <v>0.59861111111111098</v>
      </c>
      <c r="U39" s="257">
        <f t="shared" si="26"/>
        <v>56.999999999999879</v>
      </c>
      <c r="V39" s="258">
        <f t="shared" si="25"/>
        <v>102.99999999999996</v>
      </c>
      <c r="W39" s="16"/>
      <c r="X39" s="16"/>
      <c r="Y39" s="16"/>
      <c r="Z39" s="16"/>
      <c r="AA39" s="612"/>
      <c r="AB39" s="612"/>
      <c r="AC39" s="18"/>
      <c r="AD39" s="18"/>
      <c r="AE39" s="14">
        <f t="shared" si="8"/>
        <v>-115.33980582524146</v>
      </c>
      <c r="AF39" s="256">
        <f t="shared" si="9"/>
        <v>0.95194174757281602</v>
      </c>
      <c r="AG39" s="616"/>
    </row>
    <row r="40" spans="1:33" ht="15.75" customHeight="1">
      <c r="A40" s="633" t="s">
        <v>1323</v>
      </c>
      <c r="B40" s="27" t="s">
        <v>20</v>
      </c>
      <c r="C40" s="659" t="s">
        <v>57</v>
      </c>
      <c r="D40" s="659"/>
      <c r="E40" s="27">
        <v>26.18</v>
      </c>
      <c r="F40" s="266">
        <v>3344</v>
      </c>
      <c r="G40" s="257">
        <f t="shared" si="23"/>
        <v>87545.919999999998</v>
      </c>
      <c r="H40" s="31" t="s">
        <v>40</v>
      </c>
      <c r="I40" s="255">
        <v>18</v>
      </c>
      <c r="J40" s="29">
        <v>2400</v>
      </c>
      <c r="K40" s="12">
        <f t="shared" si="1"/>
        <v>133.33333333333334</v>
      </c>
      <c r="L40" s="255">
        <v>18</v>
      </c>
      <c r="M40" s="13">
        <f t="shared" si="24"/>
        <v>2306.2068965517237</v>
      </c>
      <c r="N40" s="12">
        <f t="shared" si="3"/>
        <v>128.12260536398466</v>
      </c>
      <c r="O40" s="14">
        <f t="shared" si="4"/>
        <v>0</v>
      </c>
      <c r="P40" s="15">
        <f t="shared" si="5"/>
        <v>-5.2107279693486817</v>
      </c>
      <c r="Q40" s="256">
        <f t="shared" si="6"/>
        <v>0.96091954022988491</v>
      </c>
      <c r="R40" s="616"/>
      <c r="S40" s="32">
        <v>0.60208333333333319</v>
      </c>
      <c r="T40" s="32">
        <v>0.66249999999999987</v>
      </c>
      <c r="U40" s="257">
        <f t="shared" si="26"/>
        <v>4.9999999999999822</v>
      </c>
      <c r="V40" s="258">
        <f t="shared" si="25"/>
        <v>87.000000000000014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-93.79310344827627</v>
      </c>
      <c r="AF40" s="256">
        <f t="shared" si="9"/>
        <v>0.96091954022988491</v>
      </c>
      <c r="AG40" s="616"/>
    </row>
    <row r="41" spans="1:33" ht="15.75" customHeight="1">
      <c r="A41" s="633" t="s">
        <v>1323</v>
      </c>
      <c r="B41" s="27" t="s">
        <v>1319</v>
      </c>
      <c r="C41" s="658"/>
      <c r="D41" s="658"/>
      <c r="E41" s="260"/>
      <c r="F41" s="266"/>
      <c r="G41" s="257"/>
      <c r="H41" s="266"/>
      <c r="I41" s="21">
        <v>17.428571428571427</v>
      </c>
      <c r="J41" s="29">
        <v>2400</v>
      </c>
      <c r="K41" s="12">
        <f t="shared" si="1"/>
        <v>137.70491803278691</v>
      </c>
      <c r="L41" s="21">
        <v>17.428571428571427</v>
      </c>
      <c r="M41" s="13">
        <f>AVERAGE(M34:M40)</f>
        <v>2296.2265748505783</v>
      </c>
      <c r="N41" s="12">
        <f t="shared" si="3"/>
        <v>131.75070511437747</v>
      </c>
      <c r="O41" s="14">
        <f t="shared" si="4"/>
        <v>0</v>
      </c>
      <c r="P41" s="15">
        <f t="shared" si="5"/>
        <v>-5.9542129184094392</v>
      </c>
      <c r="Q41" s="256">
        <f t="shared" si="6"/>
        <v>0.9567610728544077</v>
      </c>
      <c r="R41" s="616"/>
      <c r="S41" s="32"/>
      <c r="T41" s="32"/>
      <c r="U41" s="257"/>
      <c r="V41" s="258"/>
      <c r="W41" s="257"/>
      <c r="X41" s="257"/>
      <c r="Y41" s="22">
        <f>SUM(Y34:Y40)</f>
        <v>0</v>
      </c>
      <c r="Z41" s="22">
        <f>SUM(Z34:Z40)</f>
        <v>0</v>
      </c>
      <c r="AA41" s="611"/>
      <c r="AB41" s="611"/>
      <c r="AC41" s="22">
        <v>7</v>
      </c>
      <c r="AD41" s="22">
        <f>SUM(AD34:AD40)</f>
        <v>0</v>
      </c>
      <c r="AE41" s="14">
        <f t="shared" si="8"/>
        <v>-103.77342514942166</v>
      </c>
      <c r="AF41" s="256">
        <f t="shared" si="9"/>
        <v>0.95676107285440759</v>
      </c>
      <c r="AG41" s="616"/>
    </row>
    <row r="42" spans="1:33" ht="15.75" customHeight="1">
      <c r="A42" s="629" t="s">
        <v>1324</v>
      </c>
      <c r="B42" s="27" t="s">
        <v>20</v>
      </c>
      <c r="C42" s="660" t="s">
        <v>58</v>
      </c>
      <c r="D42" s="660"/>
      <c r="E42" s="27">
        <v>26.18</v>
      </c>
      <c r="F42" s="266">
        <v>3500</v>
      </c>
      <c r="G42" s="257">
        <f t="shared" ref="G42:G49" si="27">E42*F42</f>
        <v>91630</v>
      </c>
      <c r="H42" s="31">
        <v>2</v>
      </c>
      <c r="I42" s="255">
        <v>20</v>
      </c>
      <c r="J42" s="29">
        <v>2400</v>
      </c>
      <c r="K42" s="12">
        <f t="shared" si="1"/>
        <v>120</v>
      </c>
      <c r="L42" s="255">
        <v>20</v>
      </c>
      <c r="M42" s="13">
        <f t="shared" ref="M42:M49" si="28">F42/V42*60</f>
        <v>2307.6923076923085</v>
      </c>
      <c r="N42" s="12">
        <f t="shared" si="3"/>
        <v>115.38461538461543</v>
      </c>
      <c r="O42" s="14">
        <f t="shared" si="4"/>
        <v>0</v>
      </c>
      <c r="P42" s="15">
        <f t="shared" si="5"/>
        <v>-4.6153846153845706</v>
      </c>
      <c r="Q42" s="256">
        <f t="shared" si="6"/>
        <v>0.9615384615384619</v>
      </c>
      <c r="R42" s="616">
        <f>Q50</f>
        <v>0.95700381966723025</v>
      </c>
      <c r="S42" s="32">
        <v>8.3333333333333329E-2</v>
      </c>
      <c r="T42" s="32">
        <v>0.14652777777777776</v>
      </c>
      <c r="U42" s="257"/>
      <c r="V42" s="258">
        <f t="shared" ref="V42:V49" si="29">(T42-S42)*24*60</f>
        <v>90.999999999999972</v>
      </c>
      <c r="W42" s="20">
        <f>T42</f>
        <v>0.14652777777777776</v>
      </c>
      <c r="X42" s="20">
        <f>S43</f>
        <v>0.16666666666666666</v>
      </c>
      <c r="Y42" s="20"/>
      <c r="Z42" s="20"/>
      <c r="AA42" s="612"/>
      <c r="AB42" s="612"/>
      <c r="AC42" s="18">
        <v>8</v>
      </c>
      <c r="AD42" s="18"/>
      <c r="AE42" s="14">
        <f t="shared" si="8"/>
        <v>-92.307692307691468</v>
      </c>
      <c r="AF42" s="256">
        <f t="shared" si="9"/>
        <v>0.9615384615384619</v>
      </c>
      <c r="AG42" s="616">
        <f>AF50</f>
        <v>0.95700381966723025</v>
      </c>
    </row>
    <row r="43" spans="1:33" ht="15.75" customHeight="1">
      <c r="A43" s="629" t="s">
        <v>1325</v>
      </c>
      <c r="B43" s="27" t="s">
        <v>20</v>
      </c>
      <c r="C43" s="660" t="s">
        <v>25</v>
      </c>
      <c r="D43" s="660"/>
      <c r="E43" s="27">
        <v>24.43</v>
      </c>
      <c r="F43" s="266">
        <v>3900</v>
      </c>
      <c r="G43" s="257">
        <f t="shared" si="27"/>
        <v>95277</v>
      </c>
      <c r="H43" s="31">
        <v>2</v>
      </c>
      <c r="I43" s="255">
        <v>14</v>
      </c>
      <c r="J43" s="29">
        <v>2400</v>
      </c>
      <c r="K43" s="12">
        <f t="shared" si="1"/>
        <v>171.42857142857142</v>
      </c>
      <c r="L43" s="255">
        <v>14</v>
      </c>
      <c r="M43" s="13">
        <f t="shared" si="28"/>
        <v>2294.1176470588234</v>
      </c>
      <c r="N43" s="12">
        <f t="shared" si="3"/>
        <v>163.8655462184874</v>
      </c>
      <c r="O43" s="14">
        <f t="shared" si="4"/>
        <v>0</v>
      </c>
      <c r="P43" s="15">
        <f t="shared" si="5"/>
        <v>-7.563025210084021</v>
      </c>
      <c r="Q43" s="256">
        <f t="shared" si="6"/>
        <v>0.95588235294117652</v>
      </c>
      <c r="R43" s="616"/>
      <c r="S43" s="32">
        <v>0.16666666666666666</v>
      </c>
      <c r="T43" s="32">
        <v>0.23749999999999999</v>
      </c>
      <c r="U43" s="257">
        <f t="shared" ref="U43:U49" si="30">(S43-T42)*24*60</f>
        <v>29.000000000000018</v>
      </c>
      <c r="V43" s="258">
        <f t="shared" si="29"/>
        <v>102</v>
      </c>
      <c r="W43" s="257"/>
      <c r="X43" s="257"/>
      <c r="Y43" s="257"/>
      <c r="Z43" s="257"/>
      <c r="AA43" s="612"/>
      <c r="AB43" s="612"/>
      <c r="AC43" s="18"/>
      <c r="AD43" s="18"/>
      <c r="AE43" s="14">
        <f t="shared" si="8"/>
        <v>-105.88235294117658</v>
      </c>
      <c r="AF43" s="256">
        <f t="shared" si="9"/>
        <v>0.95588235294117641</v>
      </c>
      <c r="AG43" s="616"/>
    </row>
    <row r="44" spans="1:33">
      <c r="A44" s="630" t="s">
        <v>1325</v>
      </c>
      <c r="B44" s="27" t="s">
        <v>20</v>
      </c>
      <c r="C44" s="660" t="s">
        <v>83</v>
      </c>
      <c r="D44" s="660"/>
      <c r="E44" s="27">
        <v>25.98</v>
      </c>
      <c r="F44" s="266">
        <v>4405</v>
      </c>
      <c r="G44" s="257">
        <f t="shared" si="27"/>
        <v>114441.90000000001</v>
      </c>
      <c r="H44" s="31" t="s">
        <v>40</v>
      </c>
      <c r="I44" s="255">
        <v>20</v>
      </c>
      <c r="J44" s="29">
        <v>2400</v>
      </c>
      <c r="K44" s="12">
        <f t="shared" si="1"/>
        <v>120</v>
      </c>
      <c r="L44" s="255">
        <v>20</v>
      </c>
      <c r="M44" s="13">
        <f t="shared" si="28"/>
        <v>2298.2608695652166</v>
      </c>
      <c r="N44" s="12">
        <f t="shared" si="3"/>
        <v>114.91304347826083</v>
      </c>
      <c r="O44" s="14">
        <f t="shared" si="4"/>
        <v>0</v>
      </c>
      <c r="P44" s="15">
        <f t="shared" si="5"/>
        <v>-5.0869565217391681</v>
      </c>
      <c r="Q44" s="256">
        <f t="shared" si="6"/>
        <v>0.95760869565217355</v>
      </c>
      <c r="R44" s="616"/>
      <c r="S44" s="32">
        <v>0.24166666666666667</v>
      </c>
      <c r="T44" s="32">
        <v>0.3215277777777778</v>
      </c>
      <c r="U44" s="257">
        <f t="shared" si="30"/>
        <v>6.0000000000000187</v>
      </c>
      <c r="V44" s="258">
        <f t="shared" si="29"/>
        <v>115.00000000000003</v>
      </c>
      <c r="W44" s="257"/>
      <c r="X44" s="257"/>
      <c r="Y44" s="257"/>
      <c r="Z44" s="257"/>
      <c r="AA44" s="612"/>
      <c r="AB44" s="612"/>
      <c r="AC44" s="18"/>
      <c r="AD44" s="18"/>
      <c r="AE44" s="14">
        <f t="shared" si="8"/>
        <v>-101.73913043478342</v>
      </c>
      <c r="AF44" s="256">
        <f t="shared" si="9"/>
        <v>0.95760869565217355</v>
      </c>
      <c r="AG44" s="616"/>
    </row>
    <row r="45" spans="1:33">
      <c r="A45" s="630" t="s">
        <v>1325</v>
      </c>
      <c r="B45" s="27" t="s">
        <v>20</v>
      </c>
      <c r="C45" s="660" t="s">
        <v>26</v>
      </c>
      <c r="D45" s="660"/>
      <c r="E45" s="27">
        <v>34.1</v>
      </c>
      <c r="F45" s="266">
        <v>3700</v>
      </c>
      <c r="G45" s="257">
        <f t="shared" si="27"/>
        <v>126170</v>
      </c>
      <c r="H45" s="31">
        <v>2</v>
      </c>
      <c r="I45" s="255">
        <v>17</v>
      </c>
      <c r="J45" s="29">
        <v>1600</v>
      </c>
      <c r="K45" s="12">
        <f t="shared" si="1"/>
        <v>94.117647058823536</v>
      </c>
      <c r="L45" s="255">
        <v>17</v>
      </c>
      <c r="M45" s="13">
        <f t="shared" si="28"/>
        <v>1531.0344827586209</v>
      </c>
      <c r="N45" s="12">
        <f t="shared" si="3"/>
        <v>90.060851926977705</v>
      </c>
      <c r="O45" s="14">
        <f t="shared" si="4"/>
        <v>0</v>
      </c>
      <c r="P45" s="15">
        <f t="shared" si="5"/>
        <v>-4.0567951318458313</v>
      </c>
      <c r="Q45" s="256">
        <f t="shared" si="6"/>
        <v>0.95689655172413801</v>
      </c>
      <c r="R45" s="616"/>
      <c r="S45" s="32">
        <v>0.32708333333333334</v>
      </c>
      <c r="T45" s="32">
        <v>0.42777777777777776</v>
      </c>
      <c r="U45" s="257">
        <f t="shared" si="30"/>
        <v>7.9999999999999716</v>
      </c>
      <c r="V45" s="258">
        <f t="shared" si="29"/>
        <v>144.99999999999997</v>
      </c>
      <c r="W45" s="16"/>
      <c r="X45" s="16"/>
      <c r="Y45" s="16"/>
      <c r="Z45" s="16"/>
      <c r="AA45" s="612"/>
      <c r="AB45" s="612"/>
      <c r="AC45" s="18"/>
      <c r="AD45" s="18"/>
      <c r="AE45" s="14">
        <f t="shared" si="8"/>
        <v>-68.965517241379075</v>
      </c>
      <c r="AF45" s="256">
        <f t="shared" si="9"/>
        <v>0.95689655172413812</v>
      </c>
      <c r="AG45" s="616"/>
    </row>
    <row r="46" spans="1:33">
      <c r="A46" s="630" t="s">
        <v>1325</v>
      </c>
      <c r="B46" s="27" t="s">
        <v>20</v>
      </c>
      <c r="C46" s="660" t="s">
        <v>64</v>
      </c>
      <c r="D46" s="660"/>
      <c r="E46" s="27">
        <v>20.21</v>
      </c>
      <c r="F46" s="266">
        <v>2908</v>
      </c>
      <c r="G46" s="257">
        <f t="shared" si="27"/>
        <v>58770.68</v>
      </c>
      <c r="H46" s="31" t="s">
        <v>40</v>
      </c>
      <c r="I46" s="255">
        <v>18</v>
      </c>
      <c r="J46" s="29">
        <v>2400</v>
      </c>
      <c r="K46" s="12">
        <f t="shared" si="1"/>
        <v>133.33333333333334</v>
      </c>
      <c r="L46" s="255">
        <v>18</v>
      </c>
      <c r="M46" s="13">
        <f t="shared" si="28"/>
        <v>2295.7894736842113</v>
      </c>
      <c r="N46" s="12">
        <f t="shared" si="3"/>
        <v>127.54385964912285</v>
      </c>
      <c r="O46" s="14">
        <f t="shared" si="4"/>
        <v>0</v>
      </c>
      <c r="P46" s="15">
        <f t="shared" si="5"/>
        <v>-5.7894736842104919</v>
      </c>
      <c r="Q46" s="256">
        <f t="shared" si="6"/>
        <v>0.95657894736842131</v>
      </c>
      <c r="R46" s="616"/>
      <c r="S46" s="32">
        <v>0.43263888888888885</v>
      </c>
      <c r="T46" s="32">
        <v>0.48541666666666661</v>
      </c>
      <c r="U46" s="257">
        <f t="shared" si="30"/>
        <v>6.9999999999999751</v>
      </c>
      <c r="V46" s="258">
        <f t="shared" si="29"/>
        <v>75.999999999999972</v>
      </c>
      <c r="W46" s="16">
        <f>T46</f>
        <v>0.48541666666666661</v>
      </c>
      <c r="X46" s="16">
        <f>S47</f>
        <v>0.52708333333333324</v>
      </c>
      <c r="Y46" s="16"/>
      <c r="Z46" s="16"/>
      <c r="AA46" s="612"/>
      <c r="AB46" s="612"/>
      <c r="AC46" s="18"/>
      <c r="AD46" s="18"/>
      <c r="AE46" s="14">
        <f t="shared" si="8"/>
        <v>-104.21052631578868</v>
      </c>
      <c r="AF46" s="256">
        <f t="shared" si="9"/>
        <v>0.95657894736842142</v>
      </c>
      <c r="AG46" s="616"/>
    </row>
    <row r="47" spans="1:33">
      <c r="A47" s="630" t="s">
        <v>1325</v>
      </c>
      <c r="B47" s="27" t="s">
        <v>20</v>
      </c>
      <c r="C47" s="660" t="s">
        <v>58</v>
      </c>
      <c r="D47" s="660"/>
      <c r="E47" s="27">
        <v>26.18</v>
      </c>
      <c r="F47" s="266">
        <v>2749</v>
      </c>
      <c r="G47" s="257">
        <f t="shared" si="27"/>
        <v>71968.819999999992</v>
      </c>
      <c r="H47" s="31" t="s">
        <v>40</v>
      </c>
      <c r="I47" s="255">
        <v>20</v>
      </c>
      <c r="J47" s="29">
        <v>2400</v>
      </c>
      <c r="K47" s="12">
        <f t="shared" si="1"/>
        <v>120</v>
      </c>
      <c r="L47" s="255">
        <v>20</v>
      </c>
      <c r="M47" s="13">
        <f t="shared" si="28"/>
        <v>2290.8333333333317</v>
      </c>
      <c r="N47" s="12">
        <f t="shared" si="3"/>
        <v>114.54166666666659</v>
      </c>
      <c r="O47" s="14">
        <f t="shared" si="4"/>
        <v>0</v>
      </c>
      <c r="P47" s="15">
        <f t="shared" si="5"/>
        <v>-5.4583333333334139</v>
      </c>
      <c r="Q47" s="256">
        <f t="shared" si="6"/>
        <v>0.95451388888888822</v>
      </c>
      <c r="R47" s="616"/>
      <c r="S47" s="32">
        <v>0.52708333333333324</v>
      </c>
      <c r="T47" s="32">
        <v>0.57708333333333328</v>
      </c>
      <c r="U47" s="257">
        <f t="shared" si="30"/>
        <v>59.999999999999943</v>
      </c>
      <c r="V47" s="258">
        <f t="shared" si="29"/>
        <v>72.000000000000057</v>
      </c>
      <c r="W47" s="16"/>
      <c r="X47" s="16"/>
      <c r="Y47" s="16"/>
      <c r="Z47" s="16"/>
      <c r="AA47" s="612"/>
      <c r="AB47" s="612"/>
      <c r="AC47" s="18"/>
      <c r="AD47" s="18"/>
      <c r="AE47" s="14">
        <f t="shared" si="8"/>
        <v>-109.16666666666833</v>
      </c>
      <c r="AF47" s="256">
        <f t="shared" si="9"/>
        <v>0.95451388888888822</v>
      </c>
      <c r="AG47" s="616"/>
    </row>
    <row r="48" spans="1:33">
      <c r="A48" s="630" t="s">
        <v>1325</v>
      </c>
      <c r="B48" s="27" t="s">
        <v>20</v>
      </c>
      <c r="C48" s="660" t="s">
        <v>26</v>
      </c>
      <c r="D48" s="660"/>
      <c r="E48" s="27">
        <v>34.1</v>
      </c>
      <c r="F48" s="266">
        <v>3069</v>
      </c>
      <c r="G48" s="257">
        <f t="shared" si="27"/>
        <v>104652.90000000001</v>
      </c>
      <c r="H48" s="31" t="s">
        <v>40</v>
      </c>
      <c r="I48" s="255">
        <v>17</v>
      </c>
      <c r="J48" s="29">
        <v>1600</v>
      </c>
      <c r="K48" s="12">
        <f t="shared" si="1"/>
        <v>94.117647058823536</v>
      </c>
      <c r="L48" s="255">
        <v>17</v>
      </c>
      <c r="M48" s="13">
        <f t="shared" si="28"/>
        <v>1521.8181818181811</v>
      </c>
      <c r="N48" s="12">
        <f t="shared" si="3"/>
        <v>89.518716577540062</v>
      </c>
      <c r="O48" s="14">
        <f t="shared" si="4"/>
        <v>0</v>
      </c>
      <c r="P48" s="15">
        <f t="shared" si="5"/>
        <v>-4.5989304812834746</v>
      </c>
      <c r="Q48" s="256">
        <f t="shared" si="6"/>
        <v>0.95113636363636311</v>
      </c>
      <c r="R48" s="616"/>
      <c r="S48" s="32">
        <v>0.58124999999999993</v>
      </c>
      <c r="T48" s="32">
        <v>0.66527777777777775</v>
      </c>
      <c r="U48" s="257">
        <f t="shared" si="30"/>
        <v>5.9999999999999787</v>
      </c>
      <c r="V48" s="258">
        <f t="shared" si="29"/>
        <v>121.00000000000006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-78.181818181818926</v>
      </c>
      <c r="AF48" s="256">
        <f t="shared" si="9"/>
        <v>0.95113636363636322</v>
      </c>
      <c r="AG48" s="616"/>
    </row>
    <row r="49" spans="1:33">
      <c r="A49" s="630" t="s">
        <v>1325</v>
      </c>
      <c r="B49" s="27" t="s">
        <v>20</v>
      </c>
      <c r="C49" s="660" t="s">
        <v>25</v>
      </c>
      <c r="D49" s="660"/>
      <c r="E49" s="27">
        <v>24.43</v>
      </c>
      <c r="F49" s="266">
        <v>3302</v>
      </c>
      <c r="G49" s="257">
        <f t="shared" si="27"/>
        <v>80667.86</v>
      </c>
      <c r="H49" s="31" t="s">
        <v>40</v>
      </c>
      <c r="I49" s="255">
        <v>14</v>
      </c>
      <c r="J49" s="29">
        <v>2400</v>
      </c>
      <c r="K49" s="12">
        <f t="shared" si="1"/>
        <v>171.42857142857142</v>
      </c>
      <c r="L49" s="255">
        <v>14</v>
      </c>
      <c r="M49" s="13">
        <f t="shared" si="28"/>
        <v>2303.7209302325577</v>
      </c>
      <c r="N49" s="12">
        <f t="shared" si="3"/>
        <v>164.55149501661126</v>
      </c>
      <c r="O49" s="14">
        <f t="shared" si="4"/>
        <v>0</v>
      </c>
      <c r="P49" s="15">
        <f t="shared" si="5"/>
        <v>-6.8770764119601608</v>
      </c>
      <c r="Q49" s="256">
        <f t="shared" si="6"/>
        <v>0.95988372093023244</v>
      </c>
      <c r="R49" s="616"/>
      <c r="S49" s="32">
        <v>0.6694444444444444</v>
      </c>
      <c r="T49" s="32">
        <v>0.72916666666666663</v>
      </c>
      <c r="U49" s="257">
        <f t="shared" si="30"/>
        <v>5.9999999999999787</v>
      </c>
      <c r="V49" s="258">
        <f t="shared" si="29"/>
        <v>86.000000000000014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-96.279069767442252</v>
      </c>
      <c r="AF49" s="256">
        <f t="shared" si="9"/>
        <v>0.95988372093023244</v>
      </c>
      <c r="AG49" s="616"/>
    </row>
    <row r="50" spans="1:33">
      <c r="A50" s="630" t="s">
        <v>1325</v>
      </c>
      <c r="B50" s="28" t="s">
        <v>1326</v>
      </c>
      <c r="C50" s="658"/>
      <c r="D50" s="658"/>
      <c r="E50" s="260"/>
      <c r="F50" s="28"/>
      <c r="G50" s="12"/>
      <c r="H50" s="266"/>
      <c r="I50" s="21">
        <v>17.5</v>
      </c>
      <c r="J50" s="29">
        <v>2200</v>
      </c>
      <c r="K50" s="12">
        <f t="shared" si="1"/>
        <v>125.71428571428571</v>
      </c>
      <c r="L50" s="21">
        <v>17.5</v>
      </c>
      <c r="M50" s="13">
        <f>AVERAGE(M42:M49)</f>
        <v>2105.4084032679066</v>
      </c>
      <c r="N50" s="12">
        <f t="shared" si="3"/>
        <v>120.30905161530895</v>
      </c>
      <c r="O50" s="14">
        <f t="shared" si="4"/>
        <v>0</v>
      </c>
      <c r="P50" s="15">
        <f t="shared" si="5"/>
        <v>-5.4052340989767629</v>
      </c>
      <c r="Q50" s="256">
        <f t="shared" si="6"/>
        <v>0.95700381966723025</v>
      </c>
      <c r="R50" s="616"/>
      <c r="S50" s="32"/>
      <c r="T50" s="32"/>
      <c r="U50" s="12"/>
      <c r="V50" s="258"/>
      <c r="W50" s="12"/>
      <c r="X50" s="12"/>
      <c r="Y50" s="22">
        <f>SUM(Y42:Y49)</f>
        <v>0</v>
      </c>
      <c r="Z50" s="22">
        <f>SUM(Z42:Z49)</f>
        <v>0</v>
      </c>
      <c r="AA50" s="611"/>
      <c r="AB50" s="611"/>
      <c r="AC50" s="22">
        <v>8</v>
      </c>
      <c r="AD50" s="22">
        <f>SUM(AD42:AD49)</f>
        <v>0</v>
      </c>
      <c r="AE50" s="14">
        <f t="shared" si="8"/>
        <v>-94.591596732093421</v>
      </c>
      <c r="AF50" s="256">
        <f t="shared" si="9"/>
        <v>0.95700381966723025</v>
      </c>
      <c r="AG50" s="616"/>
    </row>
    <row r="51" spans="1:33" ht="15.75" customHeight="1">
      <c r="A51" s="623" t="s">
        <v>1327</v>
      </c>
      <c r="B51" s="27" t="s">
        <v>27</v>
      </c>
      <c r="C51" s="605" t="s">
        <v>33</v>
      </c>
      <c r="D51" s="606"/>
      <c r="E51" s="27">
        <v>34.36</v>
      </c>
      <c r="F51" s="266">
        <v>2355</v>
      </c>
      <c r="G51" s="257">
        <f t="shared" ref="G51:G54" si="31">E51*F51</f>
        <v>80917.8</v>
      </c>
      <c r="H51" s="31" t="s">
        <v>40</v>
      </c>
      <c r="I51" s="255">
        <v>10</v>
      </c>
      <c r="J51" s="29">
        <v>3000</v>
      </c>
      <c r="K51" s="12">
        <f t="shared" si="1"/>
        <v>300</v>
      </c>
      <c r="L51" s="255">
        <v>10</v>
      </c>
      <c r="M51" s="13">
        <f t="shared" ref="M51:M54" si="32">F51/V51*60</f>
        <v>2883.6734693877561</v>
      </c>
      <c r="N51" s="13">
        <f t="shared" si="3"/>
        <v>288.3673469387756</v>
      </c>
      <c r="O51" s="14">
        <f t="shared" si="4"/>
        <v>0</v>
      </c>
      <c r="P51" s="15">
        <f t="shared" si="5"/>
        <v>-11.632653061224403</v>
      </c>
      <c r="Q51" s="256">
        <f t="shared" si="6"/>
        <v>0.96122448979591868</v>
      </c>
      <c r="R51" s="626">
        <f>Q55</f>
        <v>0.9570058376463072</v>
      </c>
      <c r="S51" s="32">
        <v>0.20833333333333334</v>
      </c>
      <c r="T51" s="32">
        <v>0.24236111111111111</v>
      </c>
      <c r="U51" s="20"/>
      <c r="V51" s="258">
        <f t="shared" ref="V51:V54" si="33">(T51-S51)*24*60</f>
        <v>48.999999999999986</v>
      </c>
      <c r="W51" s="16"/>
      <c r="X51" s="16"/>
      <c r="Y51" s="19"/>
      <c r="Z51" s="19"/>
      <c r="AA51" s="607"/>
      <c r="AB51" s="608"/>
      <c r="AC51" s="18">
        <v>4</v>
      </c>
      <c r="AD51" s="18"/>
      <c r="AE51" s="14">
        <f t="shared" si="8"/>
        <v>-116.32653061224391</v>
      </c>
      <c r="AF51" s="256">
        <f t="shared" si="9"/>
        <v>0.96122448979591868</v>
      </c>
      <c r="AG51" s="626">
        <f>AF55</f>
        <v>0.9570058376463072</v>
      </c>
    </row>
    <row r="52" spans="1:33" ht="15.75" customHeight="1">
      <c r="A52" s="624" t="s">
        <v>1327</v>
      </c>
      <c r="B52" s="27" t="s">
        <v>27</v>
      </c>
      <c r="C52" s="605" t="s">
        <v>29</v>
      </c>
      <c r="D52" s="606"/>
      <c r="E52" s="27">
        <v>21.13</v>
      </c>
      <c r="F52" s="266">
        <v>5874</v>
      </c>
      <c r="G52" s="257">
        <f t="shared" si="31"/>
        <v>124117.62</v>
      </c>
      <c r="H52" s="31" t="s">
        <v>40</v>
      </c>
      <c r="I52" s="255">
        <v>10</v>
      </c>
      <c r="J52" s="29">
        <v>3000</v>
      </c>
      <c r="K52" s="12">
        <f t="shared" si="1"/>
        <v>300</v>
      </c>
      <c r="L52" s="255">
        <v>10</v>
      </c>
      <c r="M52" s="13">
        <f t="shared" si="32"/>
        <v>2865.3658536585372</v>
      </c>
      <c r="N52" s="13">
        <f t="shared" si="3"/>
        <v>286.53658536585374</v>
      </c>
      <c r="O52" s="14">
        <f t="shared" si="4"/>
        <v>0</v>
      </c>
      <c r="P52" s="15">
        <f t="shared" si="5"/>
        <v>-13.463414634146261</v>
      </c>
      <c r="Q52" s="256">
        <f t="shared" si="6"/>
        <v>0.95512195121951249</v>
      </c>
      <c r="R52" s="627"/>
      <c r="S52" s="32">
        <v>0.24583333333333332</v>
      </c>
      <c r="T52" s="32">
        <v>0.33124999999999999</v>
      </c>
      <c r="U52" s="257">
        <f t="shared" ref="U52:U54" si="34">(S52-T51)*24*60</f>
        <v>4.9999999999999822</v>
      </c>
      <c r="V52" s="258">
        <f t="shared" si="33"/>
        <v>122.99999999999999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-134.63414634146284</v>
      </c>
      <c r="AF52" s="256">
        <f t="shared" si="9"/>
        <v>0.95512195121951238</v>
      </c>
      <c r="AG52" s="627"/>
    </row>
    <row r="53" spans="1:33" ht="15.75" customHeight="1">
      <c r="A53" s="624" t="s">
        <v>1327</v>
      </c>
      <c r="B53" s="27" t="s">
        <v>27</v>
      </c>
      <c r="C53" s="605" t="s">
        <v>30</v>
      </c>
      <c r="D53" s="606"/>
      <c r="E53" s="27">
        <v>27.17</v>
      </c>
      <c r="F53" s="266">
        <v>5698</v>
      </c>
      <c r="G53" s="257">
        <f t="shared" si="31"/>
        <v>154814.66</v>
      </c>
      <c r="H53" s="31" t="s">
        <v>40</v>
      </c>
      <c r="I53" s="255">
        <v>10</v>
      </c>
      <c r="J53" s="29">
        <v>3000</v>
      </c>
      <c r="K53" s="12">
        <f t="shared" si="1"/>
        <v>300</v>
      </c>
      <c r="L53" s="255">
        <v>10</v>
      </c>
      <c r="M53" s="13">
        <f t="shared" si="32"/>
        <v>2872.9411764705892</v>
      </c>
      <c r="N53" s="13">
        <f t="shared" si="3"/>
        <v>287.2941176470589</v>
      </c>
      <c r="O53" s="14">
        <f t="shared" si="4"/>
        <v>0</v>
      </c>
      <c r="P53" s="15">
        <f t="shared" si="5"/>
        <v>-12.705882352941103</v>
      </c>
      <c r="Q53" s="256">
        <f t="shared" si="6"/>
        <v>0.95764705882352963</v>
      </c>
      <c r="R53" s="627"/>
      <c r="S53" s="32">
        <v>0.33611111111111108</v>
      </c>
      <c r="T53" s="32">
        <v>0.41874999999999996</v>
      </c>
      <c r="U53" s="257">
        <f t="shared" si="34"/>
        <v>6.9999999999999751</v>
      </c>
      <c r="V53" s="258">
        <f t="shared" si="33"/>
        <v>118.99999999999997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-127.0588235294108</v>
      </c>
      <c r="AF53" s="256">
        <f t="shared" si="9"/>
        <v>0.95764705882352974</v>
      </c>
      <c r="AG53" s="627"/>
    </row>
    <row r="54" spans="1:33" ht="15.75" customHeight="1">
      <c r="A54" s="624" t="s">
        <v>1328</v>
      </c>
      <c r="B54" s="27" t="s">
        <v>27</v>
      </c>
      <c r="C54" s="605" t="s">
        <v>35</v>
      </c>
      <c r="D54" s="606"/>
      <c r="E54" s="27">
        <v>35.869999999999997</v>
      </c>
      <c r="F54" s="266">
        <v>3196</v>
      </c>
      <c r="G54" s="257">
        <f t="shared" si="31"/>
        <v>114640.51999999999</v>
      </c>
      <c r="H54" s="31" t="s">
        <v>40</v>
      </c>
      <c r="I54" s="255">
        <v>9</v>
      </c>
      <c r="J54" s="29">
        <v>3000</v>
      </c>
      <c r="K54" s="12">
        <f t="shared" si="1"/>
        <v>333.33333333333331</v>
      </c>
      <c r="L54" s="255">
        <v>9</v>
      </c>
      <c r="M54" s="13">
        <f t="shared" si="32"/>
        <v>2862.0895522388059</v>
      </c>
      <c r="N54" s="13">
        <f t="shared" si="3"/>
        <v>318.00995024875624</v>
      </c>
      <c r="O54" s="14">
        <f t="shared" si="4"/>
        <v>0</v>
      </c>
      <c r="P54" s="15">
        <f t="shared" si="5"/>
        <v>-15.323383084577074</v>
      </c>
      <c r="Q54" s="256">
        <f t="shared" si="6"/>
        <v>0.95402985074626878</v>
      </c>
      <c r="R54" s="627"/>
      <c r="S54" s="32">
        <v>0.42222222222222217</v>
      </c>
      <c r="T54" s="32">
        <v>0.46874999999999994</v>
      </c>
      <c r="U54" s="257">
        <f t="shared" si="34"/>
        <v>4.9999999999999822</v>
      </c>
      <c r="V54" s="258">
        <f t="shared" si="33"/>
        <v>67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-137.91044776119406</v>
      </c>
      <c r="AF54" s="256">
        <f t="shared" si="9"/>
        <v>0.95402985074626867</v>
      </c>
      <c r="AG54" s="627"/>
    </row>
    <row r="55" spans="1:33" ht="15.75" customHeight="1">
      <c r="A55" s="625" t="s">
        <v>1328</v>
      </c>
      <c r="B55" s="27" t="s">
        <v>1326</v>
      </c>
      <c r="C55" s="609"/>
      <c r="D55" s="610"/>
      <c r="E55" s="265"/>
      <c r="F55" s="266"/>
      <c r="G55" s="257"/>
      <c r="H55" s="266"/>
      <c r="I55" s="21">
        <v>9.75</v>
      </c>
      <c r="J55" s="29">
        <v>3000</v>
      </c>
      <c r="K55" s="12">
        <f t="shared" si="1"/>
        <v>307.69230769230768</v>
      </c>
      <c r="L55" s="21">
        <v>9.75</v>
      </c>
      <c r="M55" s="13">
        <f>AVERAGE(M51:M54)</f>
        <v>2871.0175129389218</v>
      </c>
      <c r="N55" s="12">
        <f t="shared" si="3"/>
        <v>294.46333466040221</v>
      </c>
      <c r="O55" s="14">
        <f t="shared" si="4"/>
        <v>0</v>
      </c>
      <c r="P55" s="15">
        <f t="shared" si="5"/>
        <v>-13.228973031905468</v>
      </c>
      <c r="Q55" s="256">
        <f t="shared" si="6"/>
        <v>0.9570058376463072</v>
      </c>
      <c r="R55" s="628"/>
      <c r="S55" s="32"/>
      <c r="T55" s="32"/>
      <c r="U55" s="257"/>
      <c r="V55" s="258"/>
      <c r="W55" s="16"/>
      <c r="X55" s="16"/>
      <c r="Y55" s="22">
        <f>SUM(Y51:Y54)</f>
        <v>0</v>
      </c>
      <c r="Z55" s="22">
        <f>SUM(Z51:Z54)</f>
        <v>0</v>
      </c>
      <c r="AA55" s="619"/>
      <c r="AB55" s="620"/>
      <c r="AC55" s="22">
        <v>4</v>
      </c>
      <c r="AD55" s="22">
        <f>SUM(AD51:AD54)</f>
        <v>0</v>
      </c>
      <c r="AE55" s="14">
        <f t="shared" si="8"/>
        <v>-128.98248706107825</v>
      </c>
      <c r="AF55" s="256">
        <f t="shared" si="9"/>
        <v>0.9570058376463072</v>
      </c>
      <c r="AG55" s="628"/>
    </row>
    <row r="56" spans="1:33" ht="15.75" customHeight="1">
      <c r="A56" s="621" t="s">
        <v>1329</v>
      </c>
      <c r="B56" s="27" t="s">
        <v>5</v>
      </c>
      <c r="C56" s="660" t="s">
        <v>15</v>
      </c>
      <c r="D56" s="660"/>
      <c r="E56" s="27">
        <v>59.04</v>
      </c>
      <c r="F56" s="30">
        <v>2635</v>
      </c>
      <c r="G56" s="257">
        <f t="shared" ref="G56:G64" si="35">E56*F56</f>
        <v>155570.4</v>
      </c>
      <c r="H56" s="31" t="s">
        <v>40</v>
      </c>
      <c r="I56" s="255">
        <v>19</v>
      </c>
      <c r="J56" s="29">
        <v>2000</v>
      </c>
      <c r="K56" s="12">
        <f t="shared" si="1"/>
        <v>105.26315789473684</v>
      </c>
      <c r="L56" s="255">
        <v>19</v>
      </c>
      <c r="M56" s="13">
        <f t="shared" ref="M56" si="36">F56/V56*60</f>
        <v>1904.8192771084341</v>
      </c>
      <c r="N56" s="13">
        <f t="shared" si="3"/>
        <v>100.2536461636018</v>
      </c>
      <c r="O56" s="14">
        <f t="shared" si="4"/>
        <v>0</v>
      </c>
      <c r="P56" s="15">
        <f t="shared" si="5"/>
        <v>-5.009511731135035</v>
      </c>
      <c r="Q56" s="256">
        <f t="shared" si="6"/>
        <v>0.95240963855421712</v>
      </c>
      <c r="R56" s="616">
        <f>Q65</f>
        <v>0.95740176013505762</v>
      </c>
      <c r="S56" s="32">
        <v>0.20833333333333334</v>
      </c>
      <c r="T56" s="32">
        <v>0.26597222222222222</v>
      </c>
      <c r="U56" s="20"/>
      <c r="V56" s="258">
        <f t="shared" ref="V56:V64" si="37">(T56-S56)*24*60</f>
        <v>82.999999999999986</v>
      </c>
      <c r="W56" s="16"/>
      <c r="X56" s="16"/>
      <c r="Y56" s="20"/>
      <c r="Z56" s="20"/>
      <c r="AA56" s="612"/>
      <c r="AB56" s="612"/>
      <c r="AC56" s="18">
        <v>9</v>
      </c>
      <c r="AD56" s="18"/>
      <c r="AE56" s="14">
        <f t="shared" si="8"/>
        <v>-95.180722891565892</v>
      </c>
      <c r="AF56" s="256">
        <f t="shared" si="9"/>
        <v>0.95240963855421701</v>
      </c>
      <c r="AG56" s="616">
        <f>AF65</f>
        <v>0.95740176013505751</v>
      </c>
    </row>
    <row r="57" spans="1:33" ht="15.75" customHeight="1">
      <c r="A57" s="621" t="s">
        <v>1330</v>
      </c>
      <c r="B57" s="27" t="s">
        <v>5</v>
      </c>
      <c r="C57" s="660" t="s">
        <v>31</v>
      </c>
      <c r="D57" s="660"/>
      <c r="E57" s="27">
        <v>56.43</v>
      </c>
      <c r="F57" s="30">
        <v>1693</v>
      </c>
      <c r="G57" s="257">
        <f t="shared" si="35"/>
        <v>95535.99</v>
      </c>
      <c r="H57" s="31" t="s">
        <v>40</v>
      </c>
      <c r="I57" s="255">
        <v>22</v>
      </c>
      <c r="J57" s="29">
        <v>2000</v>
      </c>
      <c r="K57" s="12">
        <f t="shared" si="1"/>
        <v>90.909090909090907</v>
      </c>
      <c r="L57" s="255">
        <v>22</v>
      </c>
      <c r="M57" s="13">
        <f>F57/V57*60</f>
        <v>1916.6037735849065</v>
      </c>
      <c r="N57" s="13">
        <f t="shared" si="3"/>
        <v>87.118353344768479</v>
      </c>
      <c r="O57" s="14">
        <f t="shared" si="4"/>
        <v>0</v>
      </c>
      <c r="P57" s="15">
        <f t="shared" si="5"/>
        <v>-3.790737564322427</v>
      </c>
      <c r="Q57" s="256">
        <f t="shared" si="6"/>
        <v>0.95830188679245332</v>
      </c>
      <c r="R57" s="616"/>
      <c r="S57" s="32">
        <v>0.27013888888888887</v>
      </c>
      <c r="T57" s="32">
        <v>0.30694444444444441</v>
      </c>
      <c r="U57" s="257">
        <f t="shared" ref="U57:U64" si="38">IF(S57=TIME(17,0,0),"",(S57-T56)*24*60)</f>
        <v>5.9999999999999787</v>
      </c>
      <c r="V57" s="258">
        <f t="shared" si="37"/>
        <v>52.999999999999972</v>
      </c>
      <c r="W57" s="16"/>
      <c r="X57" s="16"/>
      <c r="Y57" s="16"/>
      <c r="Z57" s="16"/>
      <c r="AA57" s="612"/>
      <c r="AB57" s="612"/>
      <c r="AC57" s="18"/>
      <c r="AD57" s="18"/>
      <c r="AE57" s="14">
        <f t="shared" si="8"/>
        <v>-83.396226415093452</v>
      </c>
      <c r="AF57" s="256">
        <f t="shared" si="9"/>
        <v>0.95830188679245332</v>
      </c>
      <c r="AG57" s="616"/>
    </row>
    <row r="58" spans="1:33" ht="15.75" customHeight="1">
      <c r="A58" s="621" t="s">
        <v>1330</v>
      </c>
      <c r="B58" s="27" t="s">
        <v>5</v>
      </c>
      <c r="C58" s="605" t="s">
        <v>81</v>
      </c>
      <c r="D58" s="606"/>
      <c r="E58" s="27">
        <v>51.44</v>
      </c>
      <c r="F58" s="30">
        <v>2450</v>
      </c>
      <c r="G58" s="257">
        <f t="shared" si="35"/>
        <v>126028</v>
      </c>
      <c r="H58" s="31" t="s">
        <v>40</v>
      </c>
      <c r="I58" s="255">
        <v>25</v>
      </c>
      <c r="J58" s="29">
        <v>2000</v>
      </c>
      <c r="K58" s="12">
        <f t="shared" si="1"/>
        <v>80</v>
      </c>
      <c r="L58" s="255">
        <v>25</v>
      </c>
      <c r="M58" s="13">
        <f t="shared" ref="M58:M64" si="39">F58/V58*60</f>
        <v>1909.0909090909099</v>
      </c>
      <c r="N58" s="13">
        <f t="shared" si="3"/>
        <v>76.363636363636402</v>
      </c>
      <c r="O58" s="14">
        <f t="shared" si="4"/>
        <v>0</v>
      </c>
      <c r="P58" s="15">
        <f t="shared" si="5"/>
        <v>-3.6363636363635976</v>
      </c>
      <c r="Q58" s="256">
        <f t="shared" si="6"/>
        <v>0.95454545454545503</v>
      </c>
      <c r="R58" s="616"/>
      <c r="S58" s="32">
        <v>0.31111111111111106</v>
      </c>
      <c r="T58" s="32">
        <v>0.36458333333333326</v>
      </c>
      <c r="U58" s="257">
        <f t="shared" si="38"/>
        <v>5.9999999999999787</v>
      </c>
      <c r="V58" s="258">
        <f t="shared" si="37"/>
        <v>76.999999999999972</v>
      </c>
      <c r="W58" s="16"/>
      <c r="X58" s="16"/>
      <c r="Y58" s="19"/>
      <c r="Z58" s="19"/>
      <c r="AA58" s="612"/>
      <c r="AB58" s="612"/>
      <c r="AC58" s="18"/>
      <c r="AD58" s="18"/>
      <c r="AE58" s="14">
        <f t="shared" si="8"/>
        <v>-90.909090909090082</v>
      </c>
      <c r="AF58" s="256">
        <f t="shared" si="9"/>
        <v>0.95454545454545492</v>
      </c>
      <c r="AG58" s="616"/>
    </row>
    <row r="59" spans="1:33" ht="15.75" customHeight="1">
      <c r="A59" s="621" t="s">
        <v>1330</v>
      </c>
      <c r="B59" s="27" t="s">
        <v>8</v>
      </c>
      <c r="C59" s="263" t="s">
        <v>61</v>
      </c>
      <c r="D59" s="264"/>
      <c r="E59" s="27">
        <v>46</v>
      </c>
      <c r="F59" s="30">
        <v>2538</v>
      </c>
      <c r="G59" s="257">
        <f t="shared" si="35"/>
        <v>116748</v>
      </c>
      <c r="H59" s="31" t="s">
        <v>40</v>
      </c>
      <c r="I59" s="255">
        <v>16</v>
      </c>
      <c r="J59" s="29">
        <v>2000</v>
      </c>
      <c r="K59" s="12">
        <f t="shared" si="1"/>
        <v>125</v>
      </c>
      <c r="L59" s="255">
        <v>16</v>
      </c>
      <c r="M59" s="13">
        <f t="shared" si="39"/>
        <v>1927.5949367088597</v>
      </c>
      <c r="N59" s="13">
        <f t="shared" si="3"/>
        <v>120.47468354430373</v>
      </c>
      <c r="O59" s="14">
        <f t="shared" si="4"/>
        <v>0</v>
      </c>
      <c r="P59" s="15">
        <f t="shared" si="5"/>
        <v>-4.5253164556962702</v>
      </c>
      <c r="Q59" s="256">
        <f t="shared" si="6"/>
        <v>0.96379746835442981</v>
      </c>
      <c r="R59" s="616"/>
      <c r="S59" s="32">
        <v>0.36944444444444435</v>
      </c>
      <c r="T59" s="32">
        <v>0.42430555555555549</v>
      </c>
      <c r="U59" s="257">
        <f t="shared" si="38"/>
        <v>6.9999999999999751</v>
      </c>
      <c r="V59" s="258">
        <f t="shared" si="37"/>
        <v>79.000000000000043</v>
      </c>
      <c r="W59" s="16"/>
      <c r="X59" s="16"/>
      <c r="Y59" s="19"/>
      <c r="Z59" s="19"/>
      <c r="AA59" s="612"/>
      <c r="AB59" s="612"/>
      <c r="AC59" s="18"/>
      <c r="AD59" s="18"/>
      <c r="AE59" s="14">
        <f t="shared" si="8"/>
        <v>-72.405063291140323</v>
      </c>
      <c r="AF59" s="256">
        <f t="shared" si="9"/>
        <v>0.96379746835442981</v>
      </c>
      <c r="AG59" s="616"/>
    </row>
    <row r="60" spans="1:33" ht="15.75" customHeight="1">
      <c r="A60" s="621" t="s">
        <v>71</v>
      </c>
      <c r="B60" s="27" t="s">
        <v>8</v>
      </c>
      <c r="C60" s="263" t="s">
        <v>79</v>
      </c>
      <c r="D60" s="264"/>
      <c r="E60" s="27">
        <v>46</v>
      </c>
      <c r="F60" s="30">
        <v>2948</v>
      </c>
      <c r="G60" s="257">
        <f t="shared" si="35"/>
        <v>135608</v>
      </c>
      <c r="H60" s="31" t="s">
        <v>40</v>
      </c>
      <c r="I60" s="255">
        <v>17</v>
      </c>
      <c r="J60" s="29">
        <v>2000</v>
      </c>
      <c r="K60" s="12">
        <f t="shared" si="1"/>
        <v>117.64705882352941</v>
      </c>
      <c r="L60" s="255">
        <v>17</v>
      </c>
      <c r="M60" s="13">
        <f t="shared" si="39"/>
        <v>1901.935483870968</v>
      </c>
      <c r="N60" s="13">
        <f t="shared" si="3"/>
        <v>111.87855787476282</v>
      </c>
      <c r="O60" s="14">
        <f t="shared" si="4"/>
        <v>0</v>
      </c>
      <c r="P60" s="15">
        <f t="shared" si="5"/>
        <v>-5.7685009487665866</v>
      </c>
      <c r="Q60" s="256">
        <f t="shared" si="6"/>
        <v>0.95096774193548406</v>
      </c>
      <c r="R60" s="616"/>
      <c r="S60" s="32">
        <v>0.4277777777777777</v>
      </c>
      <c r="T60" s="32">
        <v>0.49236111111111103</v>
      </c>
      <c r="U60" s="257">
        <f t="shared" si="38"/>
        <v>4.9999999999999822</v>
      </c>
      <c r="V60" s="258">
        <f t="shared" si="37"/>
        <v>92.999999999999986</v>
      </c>
      <c r="W60" s="16"/>
      <c r="X60" s="16"/>
      <c r="Y60" s="19"/>
      <c r="Z60" s="19"/>
      <c r="AA60" s="612"/>
      <c r="AB60" s="612"/>
      <c r="AC60" s="18"/>
      <c r="AD60" s="18"/>
      <c r="AE60" s="14">
        <f t="shared" si="8"/>
        <v>-98.064516129031972</v>
      </c>
      <c r="AF60" s="256">
        <f t="shared" si="9"/>
        <v>0.95096774193548406</v>
      </c>
      <c r="AG60" s="616"/>
    </row>
    <row r="61" spans="1:33" ht="15.75" customHeight="1">
      <c r="A61" s="621" t="s">
        <v>1330</v>
      </c>
      <c r="B61" s="27" t="s">
        <v>5</v>
      </c>
      <c r="C61" s="605" t="s">
        <v>77</v>
      </c>
      <c r="D61" s="606"/>
      <c r="E61" s="27">
        <v>54.09</v>
      </c>
      <c r="F61" s="30">
        <v>1733</v>
      </c>
      <c r="G61" s="257">
        <f t="shared" si="35"/>
        <v>93737.97</v>
      </c>
      <c r="H61" s="31" t="s">
        <v>40</v>
      </c>
      <c r="I61" s="255">
        <v>13</v>
      </c>
      <c r="J61" s="29">
        <v>2000</v>
      </c>
      <c r="K61" s="12">
        <f t="shared" si="1"/>
        <v>153.84615384615384</v>
      </c>
      <c r="L61" s="255">
        <v>13</v>
      </c>
      <c r="M61" s="13">
        <f t="shared" si="39"/>
        <v>1925.5555555555566</v>
      </c>
      <c r="N61" s="13">
        <f t="shared" si="3"/>
        <v>148.1196581196582</v>
      </c>
      <c r="O61" s="14">
        <f t="shared" si="4"/>
        <v>0</v>
      </c>
      <c r="P61" s="15">
        <f t="shared" si="5"/>
        <v>-5.7264957264956422</v>
      </c>
      <c r="Q61" s="256">
        <f t="shared" si="6"/>
        <v>0.96277777777777829</v>
      </c>
      <c r="R61" s="616"/>
      <c r="S61" s="32">
        <v>0.70833333333333337</v>
      </c>
      <c r="T61" s="32">
        <v>0.74583333333333335</v>
      </c>
      <c r="U61" s="257" t="str">
        <f t="shared" si="38"/>
        <v/>
      </c>
      <c r="V61" s="258">
        <f t="shared" si="37"/>
        <v>53.999999999999972</v>
      </c>
      <c r="W61" s="16"/>
      <c r="X61" s="16"/>
      <c r="Y61" s="19"/>
      <c r="Z61" s="19"/>
      <c r="AA61" s="607"/>
      <c r="AB61" s="608"/>
      <c r="AC61" s="18"/>
      <c r="AD61" s="18"/>
      <c r="AE61" s="14">
        <f t="shared" si="8"/>
        <v>-74.444444444443434</v>
      </c>
      <c r="AF61" s="256">
        <f t="shared" si="9"/>
        <v>0.96277777777777829</v>
      </c>
      <c r="AG61" s="616"/>
    </row>
    <row r="62" spans="1:33" ht="15.75" customHeight="1">
      <c r="A62" s="621" t="s">
        <v>71</v>
      </c>
      <c r="B62" s="27" t="s">
        <v>5</v>
      </c>
      <c r="C62" s="605" t="s">
        <v>62</v>
      </c>
      <c r="D62" s="606"/>
      <c r="E62" s="27">
        <v>51.06</v>
      </c>
      <c r="F62" s="30">
        <v>1000</v>
      </c>
      <c r="G62" s="257">
        <f t="shared" si="35"/>
        <v>51060</v>
      </c>
      <c r="H62" s="31">
        <v>2</v>
      </c>
      <c r="I62" s="255">
        <v>13</v>
      </c>
      <c r="J62" s="29">
        <v>2000</v>
      </c>
      <c r="K62" s="12">
        <f t="shared" si="1"/>
        <v>153.84615384615384</v>
      </c>
      <c r="L62" s="255">
        <v>13</v>
      </c>
      <c r="M62" s="13">
        <f t="shared" si="39"/>
        <v>1935.483870967739</v>
      </c>
      <c r="N62" s="13">
        <f t="shared" si="3"/>
        <v>148.88337468982607</v>
      </c>
      <c r="O62" s="14">
        <f t="shared" si="4"/>
        <v>0</v>
      </c>
      <c r="P62" s="15">
        <f t="shared" si="5"/>
        <v>-4.9627791563277697</v>
      </c>
      <c r="Q62" s="256">
        <f t="shared" si="6"/>
        <v>0.96774193548386944</v>
      </c>
      <c r="R62" s="616"/>
      <c r="S62" s="32">
        <v>0.75069444444444444</v>
      </c>
      <c r="T62" s="32">
        <v>0.77222222222222225</v>
      </c>
      <c r="U62" s="257">
        <f t="shared" si="38"/>
        <v>6.9999999999999751</v>
      </c>
      <c r="V62" s="258">
        <f t="shared" si="37"/>
        <v>31.00000000000005</v>
      </c>
      <c r="W62" s="16"/>
      <c r="X62" s="16"/>
      <c r="Y62" s="19"/>
      <c r="Z62" s="19"/>
      <c r="AA62" s="607"/>
      <c r="AB62" s="608"/>
      <c r="AC62" s="18"/>
      <c r="AD62" s="18"/>
      <c r="AE62" s="14">
        <f t="shared" si="8"/>
        <v>-64.516129032261006</v>
      </c>
      <c r="AF62" s="256">
        <f t="shared" si="9"/>
        <v>0.96774193548386944</v>
      </c>
      <c r="AG62" s="616"/>
    </row>
    <row r="63" spans="1:33" ht="15.75" customHeight="1">
      <c r="A63" s="621" t="s">
        <v>71</v>
      </c>
      <c r="B63" s="27" t="s">
        <v>5</v>
      </c>
      <c r="C63" s="605" t="s">
        <v>7</v>
      </c>
      <c r="D63" s="606"/>
      <c r="E63" s="27">
        <v>50.67</v>
      </c>
      <c r="F63" s="30">
        <v>1938</v>
      </c>
      <c r="G63" s="257">
        <f t="shared" si="35"/>
        <v>98198.46</v>
      </c>
      <c r="H63" s="31" t="s">
        <v>40</v>
      </c>
      <c r="I63" s="255">
        <v>15</v>
      </c>
      <c r="J63" s="29">
        <v>2000</v>
      </c>
      <c r="K63" s="12">
        <f t="shared" si="1"/>
        <v>133.33333333333334</v>
      </c>
      <c r="L63" s="255">
        <v>15</v>
      </c>
      <c r="M63" s="13">
        <f t="shared" si="39"/>
        <v>1906.2295081967231</v>
      </c>
      <c r="N63" s="13">
        <f t="shared" si="3"/>
        <v>127.08196721311488</v>
      </c>
      <c r="O63" s="14">
        <f t="shared" si="4"/>
        <v>0</v>
      </c>
      <c r="P63" s="15">
        <f t="shared" si="5"/>
        <v>-6.2513661202184636</v>
      </c>
      <c r="Q63" s="256">
        <f t="shared" si="6"/>
        <v>0.95311475409836155</v>
      </c>
      <c r="R63" s="616"/>
      <c r="S63" s="32">
        <v>0.77777777777777779</v>
      </c>
      <c r="T63" s="32">
        <v>0.82013888888888886</v>
      </c>
      <c r="U63" s="257">
        <f t="shared" si="38"/>
        <v>7.9999999999999716</v>
      </c>
      <c r="V63" s="258">
        <f t="shared" si="37"/>
        <v>60.999999999999943</v>
      </c>
      <c r="W63" s="16">
        <f>T63</f>
        <v>0.82013888888888886</v>
      </c>
      <c r="X63" s="16">
        <f>S64</f>
        <v>0.86111111111111105</v>
      </c>
      <c r="Y63" s="19"/>
      <c r="Z63" s="19"/>
      <c r="AA63" s="607"/>
      <c r="AB63" s="608"/>
      <c r="AC63" s="18"/>
      <c r="AD63" s="18"/>
      <c r="AE63" s="14">
        <f t="shared" si="8"/>
        <v>-93.770491803276855</v>
      </c>
      <c r="AF63" s="256">
        <f t="shared" si="9"/>
        <v>0.95311475409836155</v>
      </c>
      <c r="AG63" s="616"/>
    </row>
    <row r="64" spans="1:33">
      <c r="A64" s="621" t="s">
        <v>1330</v>
      </c>
      <c r="B64" s="27" t="s">
        <v>5</v>
      </c>
      <c r="C64" s="263" t="s">
        <v>62</v>
      </c>
      <c r="D64" s="264"/>
      <c r="E64" s="27">
        <v>51.06</v>
      </c>
      <c r="F64" s="30">
        <v>3113</v>
      </c>
      <c r="G64" s="257">
        <f t="shared" si="35"/>
        <v>158949.78</v>
      </c>
      <c r="H64" s="31" t="s">
        <v>40</v>
      </c>
      <c r="I64" s="255">
        <v>13</v>
      </c>
      <c r="J64" s="29">
        <v>2000</v>
      </c>
      <c r="K64" s="12">
        <f t="shared" si="1"/>
        <v>153.84615384615384</v>
      </c>
      <c r="L64" s="255">
        <v>13</v>
      </c>
      <c r="M64" s="13">
        <f t="shared" si="39"/>
        <v>1905.9183673469395</v>
      </c>
      <c r="N64" s="13">
        <f t="shared" si="3"/>
        <v>146.60910518053382</v>
      </c>
      <c r="O64" s="14">
        <f t="shared" si="4"/>
        <v>0</v>
      </c>
      <c r="P64" s="15">
        <f t="shared" si="5"/>
        <v>-7.2370486656200228</v>
      </c>
      <c r="Q64" s="256">
        <f t="shared" si="6"/>
        <v>0.95295918367346988</v>
      </c>
      <c r="R64" s="616"/>
      <c r="S64" s="32">
        <v>0.86111111111111105</v>
      </c>
      <c r="T64" s="32">
        <v>0.92916666666666659</v>
      </c>
      <c r="U64" s="257">
        <f t="shared" si="38"/>
        <v>58.99999999999995</v>
      </c>
      <c r="V64" s="258">
        <f t="shared" si="37"/>
        <v>97.999999999999972</v>
      </c>
      <c r="W64" s="16"/>
      <c r="X64" s="16"/>
      <c r="Y64" s="19"/>
      <c r="Z64" s="19"/>
      <c r="AA64" s="261"/>
      <c r="AB64" s="262"/>
      <c r="AC64" s="18"/>
      <c r="AD64" s="18"/>
      <c r="AE64" s="14">
        <f t="shared" si="8"/>
        <v>-94.081632653060524</v>
      </c>
      <c r="AF64" s="256">
        <f t="shared" si="9"/>
        <v>0.95295918367346977</v>
      </c>
      <c r="AG64" s="616"/>
    </row>
    <row r="65" spans="1:33">
      <c r="A65" s="622" t="s">
        <v>1330</v>
      </c>
      <c r="B65" s="27" t="s">
        <v>1319</v>
      </c>
      <c r="C65" s="658"/>
      <c r="D65" s="658"/>
      <c r="E65" s="260"/>
      <c r="F65" s="28"/>
      <c r="G65" s="12"/>
      <c r="H65" s="266"/>
      <c r="I65" s="21">
        <v>17</v>
      </c>
      <c r="J65" s="29">
        <v>2000</v>
      </c>
      <c r="K65" s="12">
        <f t="shared" si="1"/>
        <v>117.64705882352941</v>
      </c>
      <c r="L65" s="21">
        <v>17</v>
      </c>
      <c r="M65" s="13">
        <f>AVERAGE(M56:M64)</f>
        <v>1914.8035202701151</v>
      </c>
      <c r="N65" s="12">
        <f t="shared" si="3"/>
        <v>112.63550119235971</v>
      </c>
      <c r="O65" s="14">
        <f t="shared" si="4"/>
        <v>0</v>
      </c>
      <c r="P65" s="15">
        <f t="shared" si="5"/>
        <v>-5.0115576311696941</v>
      </c>
      <c r="Q65" s="256">
        <f t="shared" si="6"/>
        <v>0.95740176013505762</v>
      </c>
      <c r="R65" s="616"/>
      <c r="S65" s="32"/>
      <c r="T65" s="32"/>
      <c r="U65" s="257"/>
      <c r="V65" s="258"/>
      <c r="W65" s="12"/>
      <c r="X65" s="12"/>
      <c r="Y65" s="22">
        <f>SUM(Y56:Y64)</f>
        <v>0</v>
      </c>
      <c r="Z65" s="22">
        <f>SUM(Z56:Z64)</f>
        <v>0</v>
      </c>
      <c r="AA65" s="611"/>
      <c r="AB65" s="611"/>
      <c r="AC65" s="22">
        <v>9</v>
      </c>
      <c r="AD65" s="22">
        <f>SUM(AD56:AD64)</f>
        <v>0</v>
      </c>
      <c r="AE65" s="14">
        <f>M65-J65</f>
        <v>-85.196479729884913</v>
      </c>
      <c r="AF65" s="256">
        <f t="shared" si="9"/>
        <v>0.95740176013505751</v>
      </c>
      <c r="AG65" s="616"/>
    </row>
    <row r="66" spans="1:33" ht="15.75" customHeight="1">
      <c r="A66" s="617" t="s">
        <v>1331</v>
      </c>
      <c r="B66" s="266" t="s">
        <v>27</v>
      </c>
      <c r="C66" s="660" t="s">
        <v>28</v>
      </c>
      <c r="D66" s="660"/>
      <c r="E66" s="27">
        <v>35.119999999999997</v>
      </c>
      <c r="F66" s="30">
        <v>5515</v>
      </c>
      <c r="G66" s="257">
        <f t="shared" ref="G66:G69" si="40">E66*F66</f>
        <v>193686.8</v>
      </c>
      <c r="H66" s="31" t="s">
        <v>40</v>
      </c>
      <c r="I66" s="255">
        <v>10</v>
      </c>
      <c r="J66" s="29">
        <v>3000</v>
      </c>
      <c r="K66" s="12">
        <f t="shared" si="1"/>
        <v>300</v>
      </c>
      <c r="L66" s="255">
        <v>10</v>
      </c>
      <c r="M66" s="13">
        <f t="shared" ref="M66:M69" si="41">F66/V66*60</f>
        <v>2877.3913043478256</v>
      </c>
      <c r="N66" s="12">
        <f t="shared" si="3"/>
        <v>287.73913043478257</v>
      </c>
      <c r="O66" s="14">
        <f t="shared" si="4"/>
        <v>0</v>
      </c>
      <c r="P66" s="15">
        <f t="shared" si="5"/>
        <v>-12.260869565217433</v>
      </c>
      <c r="Q66" s="256">
        <f t="shared" si="6"/>
        <v>0.95913043478260851</v>
      </c>
      <c r="R66" s="616">
        <f>Q70</f>
        <v>0.96380420113829746</v>
      </c>
      <c r="S66" s="32">
        <v>0.20833333333333334</v>
      </c>
      <c r="T66" s="32">
        <v>0.28819444444444448</v>
      </c>
      <c r="U66" s="257"/>
      <c r="V66" s="258">
        <f t="shared" ref="V66:V69" si="42">(T66-S66)*24*60</f>
        <v>115.00000000000003</v>
      </c>
      <c r="W66" s="16"/>
      <c r="X66" s="16"/>
      <c r="Y66" s="20"/>
      <c r="Z66" s="20"/>
      <c r="AA66" s="612"/>
      <c r="AB66" s="612"/>
      <c r="AC66" s="18">
        <v>4</v>
      </c>
      <c r="AD66" s="18"/>
      <c r="AE66" s="14">
        <f t="shared" ref="AE66:AE77" si="43">M66-J66</f>
        <v>-122.60869565217445</v>
      </c>
      <c r="AF66" s="256">
        <f t="shared" si="9"/>
        <v>0.95913043478260851</v>
      </c>
      <c r="AG66" s="616">
        <f>AF70</f>
        <v>0.96380420113829735</v>
      </c>
    </row>
    <row r="67" spans="1:33" ht="15.75" customHeight="1">
      <c r="A67" s="617" t="s">
        <v>1331</v>
      </c>
      <c r="B67" s="266" t="s">
        <v>27</v>
      </c>
      <c r="C67" s="660" t="s">
        <v>34</v>
      </c>
      <c r="D67" s="660"/>
      <c r="E67" s="27">
        <v>26.78</v>
      </c>
      <c r="F67" s="30">
        <v>2757</v>
      </c>
      <c r="G67" s="257">
        <f t="shared" si="40"/>
        <v>73832.460000000006</v>
      </c>
      <c r="H67" s="31" t="s">
        <v>40</v>
      </c>
      <c r="I67" s="255">
        <v>10</v>
      </c>
      <c r="J67" s="29">
        <v>3000</v>
      </c>
      <c r="K67" s="12">
        <f t="shared" si="1"/>
        <v>300</v>
      </c>
      <c r="L67" s="255">
        <v>10</v>
      </c>
      <c r="M67" s="13">
        <f t="shared" si="41"/>
        <v>2902.1052631578928</v>
      </c>
      <c r="N67" s="12">
        <f t="shared" si="3"/>
        <v>290.21052631578925</v>
      </c>
      <c r="O67" s="14">
        <f t="shared" si="4"/>
        <v>0</v>
      </c>
      <c r="P67" s="15">
        <f t="shared" si="5"/>
        <v>-9.7894736842107477</v>
      </c>
      <c r="Q67" s="256">
        <f t="shared" si="6"/>
        <v>0.96736842105263088</v>
      </c>
      <c r="R67" s="616"/>
      <c r="S67" s="32">
        <v>0.29305555555555557</v>
      </c>
      <c r="T67" s="32">
        <v>0.33263888888888893</v>
      </c>
      <c r="U67" s="257">
        <f t="shared" ref="U67:U69" si="44">(S67-T66)*24*60</f>
        <v>6.9999999999999751</v>
      </c>
      <c r="V67" s="258">
        <f t="shared" si="42"/>
        <v>57.000000000000036</v>
      </c>
      <c r="W67" s="257"/>
      <c r="X67" s="257"/>
      <c r="Y67" s="257"/>
      <c r="Z67" s="257"/>
      <c r="AA67" s="612"/>
      <c r="AB67" s="612"/>
      <c r="AC67" s="18"/>
      <c r="AD67" s="18"/>
      <c r="AE67" s="14">
        <f t="shared" si="43"/>
        <v>-97.89473684210725</v>
      </c>
      <c r="AF67" s="256">
        <f t="shared" si="9"/>
        <v>0.96736842105263088</v>
      </c>
      <c r="AG67" s="616"/>
    </row>
    <row r="68" spans="1:33" ht="15.75" customHeight="1">
      <c r="A68" s="617" t="s">
        <v>1331</v>
      </c>
      <c r="B68" s="266" t="s">
        <v>27</v>
      </c>
      <c r="C68" s="660" t="s">
        <v>36</v>
      </c>
      <c r="D68" s="660"/>
      <c r="E68" s="27">
        <v>34.35</v>
      </c>
      <c r="F68" s="30">
        <v>1445</v>
      </c>
      <c r="G68" s="257">
        <f t="shared" si="40"/>
        <v>49635.75</v>
      </c>
      <c r="H68" s="31" t="s">
        <v>40</v>
      </c>
      <c r="I68" s="255">
        <v>8</v>
      </c>
      <c r="J68" s="29">
        <v>3000</v>
      </c>
      <c r="K68" s="12">
        <f t="shared" si="1"/>
        <v>375</v>
      </c>
      <c r="L68" s="255">
        <v>8</v>
      </c>
      <c r="M68" s="13">
        <f t="shared" si="41"/>
        <v>2890.0000000000027</v>
      </c>
      <c r="N68" s="12">
        <f t="shared" si="3"/>
        <v>361.25000000000034</v>
      </c>
      <c r="O68" s="14">
        <f t="shared" si="4"/>
        <v>0</v>
      </c>
      <c r="P68" s="15">
        <f t="shared" si="5"/>
        <v>-13.749999999999659</v>
      </c>
      <c r="Q68" s="256">
        <f t="shared" si="6"/>
        <v>0.96333333333333426</v>
      </c>
      <c r="R68" s="616"/>
      <c r="S68" s="32">
        <v>0.33819444444444446</v>
      </c>
      <c r="T68" s="32">
        <v>0.35902777777777778</v>
      </c>
      <c r="U68" s="257">
        <f t="shared" si="44"/>
        <v>7.9999999999999716</v>
      </c>
      <c r="V68" s="258">
        <f t="shared" si="42"/>
        <v>29.999999999999972</v>
      </c>
      <c r="W68" s="257"/>
      <c r="X68" s="257"/>
      <c r="Y68" s="257"/>
      <c r="Z68" s="257"/>
      <c r="AA68" s="612"/>
      <c r="AB68" s="612"/>
      <c r="AC68" s="18"/>
      <c r="AD68" s="18"/>
      <c r="AE68" s="14">
        <f t="shared" si="43"/>
        <v>-109.99999999999727</v>
      </c>
      <c r="AF68" s="256">
        <f t="shared" si="9"/>
        <v>0.96333333333333426</v>
      </c>
      <c r="AG68" s="616"/>
    </row>
    <row r="69" spans="1:33" ht="15.75" customHeight="1">
      <c r="A69" s="617" t="s">
        <v>1331</v>
      </c>
      <c r="B69" s="266" t="s">
        <v>27</v>
      </c>
      <c r="C69" s="660" t="s">
        <v>737</v>
      </c>
      <c r="D69" s="660"/>
      <c r="E69" s="27">
        <v>36.14</v>
      </c>
      <c r="F69" s="30">
        <v>2510</v>
      </c>
      <c r="G69" s="257">
        <f t="shared" si="40"/>
        <v>90711.4</v>
      </c>
      <c r="H69" s="31" t="s">
        <v>40</v>
      </c>
      <c r="I69" s="255">
        <v>11</v>
      </c>
      <c r="J69" s="29">
        <v>3000</v>
      </c>
      <c r="K69" s="12">
        <f t="shared" ref="K69:K77" si="45">J69/I69</f>
        <v>272.72727272727275</v>
      </c>
      <c r="L69" s="255">
        <v>11</v>
      </c>
      <c r="M69" s="13">
        <f t="shared" si="41"/>
        <v>2896.1538461538476</v>
      </c>
      <c r="N69" s="12">
        <f t="shared" ref="N69:N77" si="46">M69/L69</f>
        <v>263.28671328671339</v>
      </c>
      <c r="O69" s="14">
        <f t="shared" ref="O69:O77" si="47">L69-I69</f>
        <v>0</v>
      </c>
      <c r="P69" s="15">
        <f t="shared" ref="P69:P77" si="48">N69-K69</f>
        <v>-9.4405594405593547</v>
      </c>
      <c r="Q69" s="256">
        <f t="shared" ref="Q69:Q77" si="49">N69/K69</f>
        <v>0.96538461538461573</v>
      </c>
      <c r="R69" s="616"/>
      <c r="S69" s="32">
        <v>0.36319444444444443</v>
      </c>
      <c r="T69" s="32">
        <v>0.39930555555555552</v>
      </c>
      <c r="U69" s="257">
        <f t="shared" si="44"/>
        <v>5.9999999999999787</v>
      </c>
      <c r="V69" s="258">
        <f t="shared" si="42"/>
        <v>51.999999999999972</v>
      </c>
      <c r="W69" s="257"/>
      <c r="X69" s="257"/>
      <c r="Y69" s="257"/>
      <c r="Z69" s="257"/>
      <c r="AA69" s="612"/>
      <c r="AB69" s="612"/>
      <c r="AC69" s="18"/>
      <c r="AD69" s="18"/>
      <c r="AE69" s="14">
        <f t="shared" si="43"/>
        <v>-103.84615384615245</v>
      </c>
      <c r="AF69" s="256">
        <f t="shared" ref="AF69:AF77" si="50">M69/J69</f>
        <v>0.96538461538461584</v>
      </c>
      <c r="AG69" s="616"/>
    </row>
    <row r="70" spans="1:33">
      <c r="A70" s="618" t="s">
        <v>1331</v>
      </c>
      <c r="B70" s="27" t="s">
        <v>1319</v>
      </c>
      <c r="C70" s="658"/>
      <c r="D70" s="658"/>
      <c r="E70" s="260"/>
      <c r="F70" s="28"/>
      <c r="G70" s="12"/>
      <c r="H70" s="266"/>
      <c r="I70" s="21">
        <v>9.75</v>
      </c>
      <c r="J70" s="29">
        <v>3000</v>
      </c>
      <c r="K70" s="12">
        <f t="shared" si="45"/>
        <v>307.69230769230768</v>
      </c>
      <c r="L70" s="21">
        <v>9.75</v>
      </c>
      <c r="M70" s="13">
        <f>AVERAGE(M66:M69)</f>
        <v>2891.4126034148921</v>
      </c>
      <c r="N70" s="12">
        <f t="shared" si="46"/>
        <v>296.55513881178382</v>
      </c>
      <c r="O70" s="14">
        <f t="shared" si="47"/>
        <v>0</v>
      </c>
      <c r="P70" s="15">
        <f t="shared" si="48"/>
        <v>-11.137168880523859</v>
      </c>
      <c r="Q70" s="256">
        <f t="shared" si="49"/>
        <v>0.96380420113829746</v>
      </c>
      <c r="R70" s="616"/>
      <c r="S70" s="32"/>
      <c r="T70" s="32"/>
      <c r="U70" s="12"/>
      <c r="V70" s="258"/>
      <c r="W70" s="12"/>
      <c r="X70" s="12"/>
      <c r="Y70" s="22">
        <f>SUM(Y66:Y69)</f>
        <v>0</v>
      </c>
      <c r="Z70" s="22">
        <f>SUM(Z66:Z69)</f>
        <v>0</v>
      </c>
      <c r="AA70" s="611"/>
      <c r="AB70" s="611"/>
      <c r="AC70" s="22">
        <v>4</v>
      </c>
      <c r="AD70" s="22">
        <f>SUM(AD66:AD69)</f>
        <v>0</v>
      </c>
      <c r="AE70" s="14">
        <f t="shared" si="43"/>
        <v>-108.58739658510785</v>
      </c>
      <c r="AF70" s="256">
        <f t="shared" si="50"/>
        <v>0.96380420113829735</v>
      </c>
      <c r="AG70" s="616"/>
    </row>
    <row r="71" spans="1:33" ht="15.75" customHeight="1">
      <c r="A71" s="613" t="s">
        <v>1332</v>
      </c>
      <c r="B71" s="266" t="s">
        <v>20</v>
      </c>
      <c r="C71" s="660" t="s">
        <v>39</v>
      </c>
      <c r="D71" s="660"/>
      <c r="E71" s="27">
        <v>19.02</v>
      </c>
      <c r="F71" s="266">
        <v>6000</v>
      </c>
      <c r="G71" s="257">
        <f t="shared" ref="G71:G76" si="51">E71*F71</f>
        <v>114120</v>
      </c>
      <c r="H71" s="31">
        <v>2</v>
      </c>
      <c r="I71" s="255">
        <v>14</v>
      </c>
      <c r="J71" s="29">
        <v>2400</v>
      </c>
      <c r="K71" s="12">
        <f t="shared" si="45"/>
        <v>171.42857142857142</v>
      </c>
      <c r="L71" s="255">
        <v>14</v>
      </c>
      <c r="M71" s="13">
        <f t="shared" ref="M71:M76" si="52">F71/V71*60</f>
        <v>2292.993630573249</v>
      </c>
      <c r="N71" s="12">
        <f t="shared" si="46"/>
        <v>163.78525932666065</v>
      </c>
      <c r="O71" s="14">
        <f t="shared" si="47"/>
        <v>0</v>
      </c>
      <c r="P71" s="15">
        <f t="shared" si="48"/>
        <v>-7.6433121019107659</v>
      </c>
      <c r="Q71" s="256">
        <f t="shared" si="49"/>
        <v>0.95541401273885385</v>
      </c>
      <c r="R71" s="616">
        <f>Q77</f>
        <v>0.95609395504479266</v>
      </c>
      <c r="S71" s="32">
        <v>8.3333333333333329E-2</v>
      </c>
      <c r="T71" s="32">
        <v>0.19236111111111109</v>
      </c>
      <c r="U71" s="20"/>
      <c r="V71" s="258">
        <f t="shared" ref="V71:V76" si="53">(T71-S71)*24*60</f>
        <v>156.99999999999997</v>
      </c>
      <c r="W71" s="16">
        <f>T71</f>
        <v>0.19236111111111109</v>
      </c>
      <c r="X71" s="16">
        <f>S72</f>
        <v>0.21180555555555555</v>
      </c>
      <c r="Y71" s="16"/>
      <c r="Z71" s="16"/>
      <c r="AA71" s="612"/>
      <c r="AB71" s="612"/>
      <c r="AC71" s="18">
        <v>6</v>
      </c>
      <c r="AD71" s="18"/>
      <c r="AE71" s="14">
        <f t="shared" si="43"/>
        <v>-107.00636942675101</v>
      </c>
      <c r="AF71" s="256">
        <f t="shared" si="50"/>
        <v>0.95541401273885374</v>
      </c>
      <c r="AG71" s="616">
        <f>AF77</f>
        <v>0.95609395504479266</v>
      </c>
    </row>
    <row r="72" spans="1:33" ht="15.75" customHeight="1">
      <c r="A72" s="614" t="s">
        <v>1332</v>
      </c>
      <c r="B72" s="266" t="s">
        <v>20</v>
      </c>
      <c r="C72" s="660" t="s">
        <v>24</v>
      </c>
      <c r="D72" s="660"/>
      <c r="E72" s="27">
        <v>20.36</v>
      </c>
      <c r="F72" s="266">
        <v>4578</v>
      </c>
      <c r="G72" s="257">
        <f t="shared" si="51"/>
        <v>93208.08</v>
      </c>
      <c r="H72" s="31" t="s">
        <v>40</v>
      </c>
      <c r="I72" s="255">
        <v>17</v>
      </c>
      <c r="J72" s="29">
        <v>2400</v>
      </c>
      <c r="K72" s="12">
        <f t="shared" si="45"/>
        <v>141.1764705882353</v>
      </c>
      <c r="L72" s="255">
        <v>17</v>
      </c>
      <c r="M72" s="13">
        <f t="shared" si="52"/>
        <v>2289</v>
      </c>
      <c r="N72" s="12">
        <f t="shared" si="46"/>
        <v>134.64705882352942</v>
      </c>
      <c r="O72" s="14">
        <f t="shared" si="47"/>
        <v>0</v>
      </c>
      <c r="P72" s="15">
        <f t="shared" si="48"/>
        <v>-6.529411764705884</v>
      </c>
      <c r="Q72" s="256">
        <f t="shared" si="49"/>
        <v>0.95374999999999999</v>
      </c>
      <c r="R72" s="616"/>
      <c r="S72" s="32">
        <v>0.21180555555555555</v>
      </c>
      <c r="T72" s="32">
        <v>0.2951388888888889</v>
      </c>
      <c r="U72" s="257">
        <f t="shared" ref="U72:U76" si="54">(S72-T71)*24*60</f>
        <v>28.000000000000021</v>
      </c>
      <c r="V72" s="258">
        <f t="shared" si="53"/>
        <v>120</v>
      </c>
      <c r="W72" s="16"/>
      <c r="X72" s="16"/>
      <c r="Y72" s="16"/>
      <c r="Z72" s="16"/>
      <c r="AA72" s="612"/>
      <c r="AB72" s="612"/>
      <c r="AC72" s="18"/>
      <c r="AD72" s="18"/>
      <c r="AE72" s="14">
        <f t="shared" si="43"/>
        <v>-111</v>
      </c>
      <c r="AF72" s="256">
        <f t="shared" si="50"/>
        <v>0.95374999999999999</v>
      </c>
      <c r="AG72" s="616"/>
    </row>
    <row r="73" spans="1:33" ht="15.75" customHeight="1">
      <c r="A73" s="614" t="s">
        <v>1332</v>
      </c>
      <c r="B73" s="266" t="s">
        <v>20</v>
      </c>
      <c r="C73" s="660" t="s">
        <v>80</v>
      </c>
      <c r="D73" s="660"/>
      <c r="E73" s="27">
        <v>25.98</v>
      </c>
      <c r="F73" s="266">
        <v>4021</v>
      </c>
      <c r="G73" s="257">
        <f t="shared" si="51"/>
        <v>104465.58</v>
      </c>
      <c r="H73" s="31" t="s">
        <v>40</v>
      </c>
      <c r="I73" s="255">
        <v>17</v>
      </c>
      <c r="J73" s="29">
        <v>2400</v>
      </c>
      <c r="K73" s="12">
        <f t="shared" si="45"/>
        <v>141.1764705882353</v>
      </c>
      <c r="L73" s="255">
        <v>17</v>
      </c>
      <c r="M73" s="13">
        <f t="shared" si="52"/>
        <v>2297.7142857142849</v>
      </c>
      <c r="N73" s="12">
        <f t="shared" si="46"/>
        <v>135.15966386554618</v>
      </c>
      <c r="O73" s="14">
        <f t="shared" si="47"/>
        <v>0</v>
      </c>
      <c r="P73" s="15">
        <f t="shared" si="48"/>
        <v>-6.0168067226891253</v>
      </c>
      <c r="Q73" s="256">
        <f t="shared" si="49"/>
        <v>0.957380952380952</v>
      </c>
      <c r="R73" s="616"/>
      <c r="S73" s="32">
        <v>0.29930555555555555</v>
      </c>
      <c r="T73" s="32">
        <v>0.37222222222222223</v>
      </c>
      <c r="U73" s="257">
        <f t="shared" si="54"/>
        <v>5.9999999999999787</v>
      </c>
      <c r="V73" s="258">
        <f t="shared" si="53"/>
        <v>105.00000000000003</v>
      </c>
      <c r="W73" s="16"/>
      <c r="X73" s="16"/>
      <c r="Y73" s="16"/>
      <c r="Z73" s="16"/>
      <c r="AA73" s="612"/>
      <c r="AB73" s="612"/>
      <c r="AC73" s="18"/>
      <c r="AD73" s="18"/>
      <c r="AE73" s="14">
        <f t="shared" si="43"/>
        <v>-102.28571428571513</v>
      </c>
      <c r="AF73" s="256">
        <f t="shared" si="50"/>
        <v>0.957380952380952</v>
      </c>
      <c r="AG73" s="616"/>
    </row>
    <row r="74" spans="1:33" ht="15.75" customHeight="1">
      <c r="A74" s="614" t="s">
        <v>1332</v>
      </c>
      <c r="B74" s="266" t="s">
        <v>20</v>
      </c>
      <c r="C74" s="660" t="s">
        <v>739</v>
      </c>
      <c r="D74" s="660"/>
      <c r="E74" s="27">
        <v>28.29</v>
      </c>
      <c r="F74" s="266">
        <v>5643</v>
      </c>
      <c r="G74" s="257">
        <f t="shared" si="51"/>
        <v>159640.47</v>
      </c>
      <c r="H74" s="31" t="s">
        <v>40</v>
      </c>
      <c r="I74" s="255">
        <v>21</v>
      </c>
      <c r="J74" s="29">
        <v>2400</v>
      </c>
      <c r="K74" s="12">
        <f t="shared" si="45"/>
        <v>114.28571428571429</v>
      </c>
      <c r="L74" s="255">
        <v>21</v>
      </c>
      <c r="M74" s="13">
        <f t="shared" si="52"/>
        <v>2287.7027027027025</v>
      </c>
      <c r="N74" s="12">
        <f t="shared" si="46"/>
        <v>108.93822393822393</v>
      </c>
      <c r="O74" s="14">
        <f t="shared" si="47"/>
        <v>0</v>
      </c>
      <c r="P74" s="15">
        <f t="shared" si="48"/>
        <v>-5.3474903474903641</v>
      </c>
      <c r="Q74" s="256">
        <f t="shared" si="49"/>
        <v>0.95320945945945934</v>
      </c>
      <c r="R74" s="616"/>
      <c r="S74" s="32">
        <v>0.37638888888888888</v>
      </c>
      <c r="T74" s="32">
        <v>0.47916666666666669</v>
      </c>
      <c r="U74" s="257">
        <f t="shared" si="54"/>
        <v>5.9999999999999787</v>
      </c>
      <c r="V74" s="258">
        <f t="shared" si="53"/>
        <v>148.00000000000003</v>
      </c>
      <c r="W74" s="16">
        <f>T74</f>
        <v>0.47916666666666669</v>
      </c>
      <c r="X74" s="16">
        <f>S75</f>
        <v>0.51944444444444449</v>
      </c>
      <c r="Y74" s="16"/>
      <c r="Z74" s="16"/>
      <c r="AA74" s="612"/>
      <c r="AB74" s="612"/>
      <c r="AC74" s="18"/>
      <c r="AD74" s="18"/>
      <c r="AE74" s="14">
        <f t="shared" si="43"/>
        <v>-112.29729729729752</v>
      </c>
      <c r="AF74" s="256">
        <f t="shared" si="50"/>
        <v>0.95320945945945934</v>
      </c>
      <c r="AG74" s="616"/>
    </row>
    <row r="75" spans="1:33" ht="15.75" customHeight="1">
      <c r="A75" s="614" t="s">
        <v>1332</v>
      </c>
      <c r="B75" s="266" t="s">
        <v>20</v>
      </c>
      <c r="C75" s="660" t="s">
        <v>39</v>
      </c>
      <c r="D75" s="660"/>
      <c r="E75" s="27">
        <v>19.02</v>
      </c>
      <c r="F75" s="266">
        <v>4666</v>
      </c>
      <c r="G75" s="257">
        <f t="shared" si="51"/>
        <v>88747.319999999992</v>
      </c>
      <c r="H75" s="31" t="s">
        <v>40</v>
      </c>
      <c r="I75" s="255">
        <v>14</v>
      </c>
      <c r="J75" s="29">
        <v>2400</v>
      </c>
      <c r="K75" s="12">
        <f t="shared" si="45"/>
        <v>171.42857142857142</v>
      </c>
      <c r="L75" s="255">
        <v>14</v>
      </c>
      <c r="M75" s="13">
        <f t="shared" si="52"/>
        <v>2294.754098360655</v>
      </c>
      <c r="N75" s="12">
        <f t="shared" si="46"/>
        <v>163.91100702576108</v>
      </c>
      <c r="O75" s="14">
        <f t="shared" si="47"/>
        <v>0</v>
      </c>
      <c r="P75" s="15">
        <f t="shared" si="48"/>
        <v>-7.5175644028103363</v>
      </c>
      <c r="Q75" s="256">
        <f t="shared" si="49"/>
        <v>0.95614754098360633</v>
      </c>
      <c r="R75" s="616"/>
      <c r="S75" s="32">
        <v>0.51944444444444449</v>
      </c>
      <c r="T75" s="32">
        <v>0.60416666666666674</v>
      </c>
      <c r="U75" s="257">
        <f t="shared" si="54"/>
        <v>58.000000000000036</v>
      </c>
      <c r="V75" s="258">
        <f t="shared" si="53"/>
        <v>122.00000000000004</v>
      </c>
      <c r="W75" s="16"/>
      <c r="X75" s="16"/>
      <c r="Y75" s="16"/>
      <c r="Z75" s="16"/>
      <c r="AA75" s="612"/>
      <c r="AB75" s="612"/>
      <c r="AC75" s="18"/>
      <c r="AD75" s="18"/>
      <c r="AE75" s="14">
        <f t="shared" si="43"/>
        <v>-105.24590163934499</v>
      </c>
      <c r="AF75" s="256">
        <f t="shared" si="50"/>
        <v>0.95614754098360621</v>
      </c>
      <c r="AG75" s="616"/>
    </row>
    <row r="76" spans="1:33" ht="15.75" customHeight="1">
      <c r="A76" s="614" t="s">
        <v>1332</v>
      </c>
      <c r="B76" s="266" t="s">
        <v>20</v>
      </c>
      <c r="C76" s="660" t="s">
        <v>22</v>
      </c>
      <c r="D76" s="660"/>
      <c r="E76" s="27">
        <v>26.37</v>
      </c>
      <c r="F76" s="266">
        <v>2613</v>
      </c>
      <c r="G76" s="257">
        <f t="shared" si="51"/>
        <v>68904.81</v>
      </c>
      <c r="H76" s="31" t="s">
        <v>40</v>
      </c>
      <c r="I76" s="255">
        <v>18</v>
      </c>
      <c r="J76" s="29">
        <v>2400</v>
      </c>
      <c r="K76" s="12">
        <f t="shared" si="45"/>
        <v>133.33333333333334</v>
      </c>
      <c r="L76" s="255">
        <v>18</v>
      </c>
      <c r="M76" s="13">
        <f t="shared" si="52"/>
        <v>2305.5882352941203</v>
      </c>
      <c r="N76" s="12">
        <f t="shared" si="46"/>
        <v>128.08823529411779</v>
      </c>
      <c r="O76" s="14">
        <f t="shared" si="47"/>
        <v>0</v>
      </c>
      <c r="P76" s="15">
        <f t="shared" si="48"/>
        <v>-5.2450980392155486</v>
      </c>
      <c r="Q76" s="256">
        <f t="shared" si="49"/>
        <v>0.96066176470588338</v>
      </c>
      <c r="R76" s="616"/>
      <c r="S76" s="32">
        <v>0.60902777777777783</v>
      </c>
      <c r="T76" s="32">
        <v>0.65625</v>
      </c>
      <c r="U76" s="257">
        <f t="shared" si="54"/>
        <v>6.9999999999999751</v>
      </c>
      <c r="V76" s="258">
        <f t="shared" si="53"/>
        <v>67.999999999999915</v>
      </c>
      <c r="W76" s="16"/>
      <c r="X76" s="16"/>
      <c r="Y76" s="16"/>
      <c r="Z76" s="16"/>
      <c r="AA76" s="612"/>
      <c r="AB76" s="612"/>
      <c r="AC76" s="18"/>
      <c r="AD76" s="18"/>
      <c r="AE76" s="14">
        <f t="shared" si="43"/>
        <v>-94.411764705879705</v>
      </c>
      <c r="AF76" s="256">
        <f t="shared" si="50"/>
        <v>0.96066176470588349</v>
      </c>
      <c r="AG76" s="616"/>
    </row>
    <row r="77" spans="1:33" ht="16.5" customHeight="1">
      <c r="A77" s="615" t="s">
        <v>1332</v>
      </c>
      <c r="B77" s="27" t="s">
        <v>1319</v>
      </c>
      <c r="C77" s="609"/>
      <c r="D77" s="610"/>
      <c r="E77" s="260"/>
      <c r="F77" s="28"/>
      <c r="G77" s="12"/>
      <c r="H77" s="266"/>
      <c r="I77" s="21">
        <v>16.833333333333332</v>
      </c>
      <c r="J77" s="29">
        <v>2400</v>
      </c>
      <c r="K77" s="12">
        <f t="shared" si="45"/>
        <v>142.57425742574259</v>
      </c>
      <c r="L77" s="21">
        <v>16.833333333333332</v>
      </c>
      <c r="M77" s="13">
        <f>AVERAGE(M71:M76)</f>
        <v>2294.6254921075024</v>
      </c>
      <c r="N77" s="12">
        <f t="shared" si="46"/>
        <v>136.31438566975262</v>
      </c>
      <c r="O77" s="14">
        <f t="shared" si="47"/>
        <v>0</v>
      </c>
      <c r="P77" s="15">
        <f t="shared" si="48"/>
        <v>-6.2598717559899626</v>
      </c>
      <c r="Q77" s="256">
        <f t="shared" si="49"/>
        <v>0.95609395504479266</v>
      </c>
      <c r="R77" s="616"/>
      <c r="S77" s="32"/>
      <c r="T77" s="32"/>
      <c r="U77" s="12"/>
      <c r="V77" s="258"/>
      <c r="W77" s="12"/>
      <c r="X77" s="12"/>
      <c r="Y77" s="22">
        <f>SUM(Y71:Y76)</f>
        <v>0</v>
      </c>
      <c r="Z77" s="22">
        <f>SUM(Z71:Z76)</f>
        <v>0</v>
      </c>
      <c r="AA77" s="611"/>
      <c r="AB77" s="611"/>
      <c r="AC77" s="22">
        <v>6</v>
      </c>
      <c r="AD77" s="22">
        <f>SUM(AD71:AD76)</f>
        <v>0</v>
      </c>
      <c r="AE77" s="14">
        <f t="shared" si="43"/>
        <v>-105.3745078924976</v>
      </c>
      <c r="AF77" s="256">
        <f t="shared" si="50"/>
        <v>0.95609395504479266</v>
      </c>
      <c r="AG77" s="616"/>
    </row>
    <row r="78" spans="1:33">
      <c r="D78" s="23"/>
      <c r="E78" s="23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16:A25"/>
    <mergeCell ref="C16:D16"/>
    <mergeCell ref="R16:R25"/>
    <mergeCell ref="AA16:AB16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5:A8"/>
    <mergeCell ref="C5:D5"/>
    <mergeCell ref="R5:R8"/>
    <mergeCell ref="AA5:AB5"/>
    <mergeCell ref="AG9:AG15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9:A15"/>
    <mergeCell ref="C9:D9"/>
    <mergeCell ref="R9:R15"/>
    <mergeCell ref="AA9:AB9"/>
    <mergeCell ref="AA14:AB14"/>
    <mergeCell ref="C15:D15"/>
    <mergeCell ref="AA15:AB15"/>
    <mergeCell ref="AA8:AB8"/>
    <mergeCell ref="AG26:AG33"/>
    <mergeCell ref="C27:D27"/>
    <mergeCell ref="AA27:AB27"/>
    <mergeCell ref="C28:D28"/>
    <mergeCell ref="AA28:AB28"/>
    <mergeCell ref="C29:D29"/>
    <mergeCell ref="C19:D19"/>
    <mergeCell ref="AA19:AB19"/>
    <mergeCell ref="C20:D20"/>
    <mergeCell ref="AA20:AB20"/>
    <mergeCell ref="C25:D25"/>
    <mergeCell ref="AA25:AB25"/>
    <mergeCell ref="AA29:AB29"/>
    <mergeCell ref="C30:D30"/>
    <mergeCell ref="AA30:AB30"/>
    <mergeCell ref="C31:D31"/>
    <mergeCell ref="AA31:AB31"/>
    <mergeCell ref="C32:D32"/>
    <mergeCell ref="AA32:AB32"/>
    <mergeCell ref="AG16:AG25"/>
    <mergeCell ref="C17:D17"/>
    <mergeCell ref="AA17:AB17"/>
    <mergeCell ref="C18:D18"/>
    <mergeCell ref="AA18:AB18"/>
    <mergeCell ref="A26:A33"/>
    <mergeCell ref="C26:D26"/>
    <mergeCell ref="R26:R33"/>
    <mergeCell ref="AA26:AB26"/>
    <mergeCell ref="C33:D33"/>
    <mergeCell ref="AA33:AB33"/>
    <mergeCell ref="A34:A41"/>
    <mergeCell ref="C34:D34"/>
    <mergeCell ref="R34:R41"/>
    <mergeCell ref="AA34:AB34"/>
    <mergeCell ref="AA39:AB39"/>
    <mergeCell ref="C40:D40"/>
    <mergeCell ref="AA40:AB40"/>
    <mergeCell ref="C41:D41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1:AB41"/>
    <mergeCell ref="A42:A50"/>
    <mergeCell ref="C42:D42"/>
    <mergeCell ref="R42:R50"/>
    <mergeCell ref="AA42:AB42"/>
    <mergeCell ref="C43:D43"/>
    <mergeCell ref="AA43:AB43"/>
    <mergeCell ref="C44:D44"/>
    <mergeCell ref="AA44:AB44"/>
    <mergeCell ref="C48:D48"/>
    <mergeCell ref="AA48:AB48"/>
    <mergeCell ref="C49:D49"/>
    <mergeCell ref="AA49:AB49"/>
    <mergeCell ref="C50:D50"/>
    <mergeCell ref="AA50:AB50"/>
    <mergeCell ref="AG42:AG50"/>
    <mergeCell ref="AA54:AB54"/>
    <mergeCell ref="C55:D55"/>
    <mergeCell ref="AA55:AB55"/>
    <mergeCell ref="C45:D45"/>
    <mergeCell ref="AA45:AB45"/>
    <mergeCell ref="C46:D46"/>
    <mergeCell ref="AA46:AB46"/>
    <mergeCell ref="C47:D47"/>
    <mergeCell ref="AA47:AB47"/>
    <mergeCell ref="AG51:AG55"/>
    <mergeCell ref="C52:D52"/>
    <mergeCell ref="AA52:AB52"/>
    <mergeCell ref="C53:D53"/>
    <mergeCell ref="AA53:AB53"/>
    <mergeCell ref="C54:D54"/>
    <mergeCell ref="C69:D69"/>
    <mergeCell ref="AA69:AB69"/>
    <mergeCell ref="C70:D70"/>
    <mergeCell ref="AA70:AB70"/>
    <mergeCell ref="A51:A55"/>
    <mergeCell ref="C51:D51"/>
    <mergeCell ref="R51:R55"/>
    <mergeCell ref="AA51:AB51"/>
    <mergeCell ref="C65:D65"/>
    <mergeCell ref="AA65:AB65"/>
    <mergeCell ref="A56:A65"/>
    <mergeCell ref="C56:D56"/>
    <mergeCell ref="R56:R65"/>
    <mergeCell ref="AA56:AB56"/>
    <mergeCell ref="AA62:AB62"/>
    <mergeCell ref="C63:D63"/>
    <mergeCell ref="AA63:AB63"/>
    <mergeCell ref="C68:D68"/>
    <mergeCell ref="AA68:AB68"/>
    <mergeCell ref="AG56:AG65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A71:A77"/>
    <mergeCell ref="C71:D71"/>
    <mergeCell ref="R71:R77"/>
    <mergeCell ref="AA71:AB71"/>
    <mergeCell ref="A66:A70"/>
    <mergeCell ref="C66:D66"/>
    <mergeCell ref="R66:R70"/>
    <mergeCell ref="AA66:AB66"/>
    <mergeCell ref="AG71:AG77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AG66:AG70"/>
    <mergeCell ref="C67:D67"/>
    <mergeCell ref="AA67:AB67"/>
  </mergeCells>
  <phoneticPr fontId="3" type="noConversion"/>
  <conditionalFormatting sqref="O65:O66 O69:O77 O5:O9 O15:O17 O25:O61">
    <cfRule type="cellIs" dxfId="861" priority="64" operator="greaterThan">
      <formula>0</formula>
    </cfRule>
  </conditionalFormatting>
  <conditionalFormatting sqref="P5:P7 P69 AE69 P71:P76 P34:P40 P66 P9 P15:P17 P26:P32 P56:P61 P42:P54 AE5:AE66 AE71:AE77">
    <cfRule type="cellIs" dxfId="860" priority="68" operator="lessThan">
      <formula>0</formula>
    </cfRule>
  </conditionalFormatting>
  <conditionalFormatting sqref="AF69 Q65:Q66 Q69:Q77 Q5:Q9 Q15:Q17 Q25:Q61 AF5:AF66 AF71:AF77">
    <cfRule type="cellIs" dxfId="859" priority="65" operator="greaterThan">
      <formula>1</formula>
    </cfRule>
    <cfRule type="cellIs" dxfId="858" priority="66" operator="lessThan">
      <formula>0.8</formula>
    </cfRule>
  </conditionalFormatting>
  <conditionalFormatting sqref="AG16:AG17 R16:R17 AG69 R25:R31 AG25:AG31 AG65:AG66 R65:R66 R69:R77 AG5:AG9 R5:R9 AG33:AG61 R33:R61">
    <cfRule type="cellIs" dxfId="857" priority="70" operator="lessThan">
      <formula>0.8</formula>
    </cfRule>
  </conditionalFormatting>
  <conditionalFormatting sqref="AG51">
    <cfRule type="cellIs" dxfId="856" priority="72" operator="lessThan">
      <formula>0.8</formula>
    </cfRule>
  </conditionalFormatting>
  <conditionalFormatting sqref="AG26:AG31">
    <cfRule type="cellIs" dxfId="855" priority="69" operator="lessThan">
      <formula>0.8</formula>
    </cfRule>
  </conditionalFormatting>
  <conditionalFormatting sqref="AG34">
    <cfRule type="cellIs" dxfId="854" priority="71" operator="lessThan">
      <formula>0.8</formula>
    </cfRule>
  </conditionalFormatting>
  <conditionalFormatting sqref="AG42:AG49">
    <cfRule type="cellIs" dxfId="853" priority="67" operator="lessThan">
      <formula>0.8</formula>
    </cfRule>
  </conditionalFormatting>
  <conditionalFormatting sqref="AE70">
    <cfRule type="cellIs" dxfId="852" priority="63" operator="lessThan">
      <formula>0</formula>
    </cfRule>
  </conditionalFormatting>
  <conditionalFormatting sqref="AF70">
    <cfRule type="cellIs" dxfId="851" priority="61" operator="greaterThan">
      <formula>1</formula>
    </cfRule>
    <cfRule type="cellIs" dxfId="850" priority="62" operator="lessThan">
      <formula>0.8</formula>
    </cfRule>
  </conditionalFormatting>
  <conditionalFormatting sqref="O18:O19">
    <cfRule type="cellIs" dxfId="849" priority="56" operator="greaterThan">
      <formula>0</formula>
    </cfRule>
  </conditionalFormatting>
  <conditionalFormatting sqref="P18:P19">
    <cfRule type="cellIs" dxfId="848" priority="59" operator="lessThan">
      <formula>0</formula>
    </cfRule>
  </conditionalFormatting>
  <conditionalFormatting sqref="Q18:Q19">
    <cfRule type="cellIs" dxfId="847" priority="57" operator="greaterThan">
      <formula>1</formula>
    </cfRule>
    <cfRule type="cellIs" dxfId="846" priority="58" operator="lessThan">
      <formula>0.8</formula>
    </cfRule>
  </conditionalFormatting>
  <conditionalFormatting sqref="R18:R19 AG18:AG19">
    <cfRule type="cellIs" dxfId="845" priority="60" operator="lessThan">
      <formula>0.8</formula>
    </cfRule>
  </conditionalFormatting>
  <conditionalFormatting sqref="O10:O14">
    <cfRule type="cellIs" dxfId="844" priority="52" operator="greaterThan">
      <formula>0</formula>
    </cfRule>
  </conditionalFormatting>
  <conditionalFormatting sqref="P10:P14">
    <cfRule type="cellIs" dxfId="843" priority="55" operator="lessThan">
      <formula>0</formula>
    </cfRule>
  </conditionalFormatting>
  <conditionalFormatting sqref="Q10:Q14">
    <cfRule type="cellIs" dxfId="842" priority="53" operator="greaterThan">
      <formula>1</formula>
    </cfRule>
    <cfRule type="cellIs" dxfId="841" priority="54" operator="lessThan">
      <formula>0.8</formula>
    </cfRule>
  </conditionalFormatting>
  <conditionalFormatting sqref="O62">
    <cfRule type="cellIs" dxfId="840" priority="47" operator="greaterThan">
      <formula>0</formula>
    </cfRule>
  </conditionalFormatting>
  <conditionalFormatting sqref="P62">
    <cfRule type="cellIs" dxfId="839" priority="50" operator="lessThan">
      <formula>0</formula>
    </cfRule>
  </conditionalFormatting>
  <conditionalFormatting sqref="Q62">
    <cfRule type="cellIs" dxfId="838" priority="48" operator="greaterThan">
      <formula>1</formula>
    </cfRule>
    <cfRule type="cellIs" dxfId="837" priority="49" operator="lessThan">
      <formula>0.8</formula>
    </cfRule>
  </conditionalFormatting>
  <conditionalFormatting sqref="R62 AG62">
    <cfRule type="cellIs" dxfId="836" priority="51" operator="lessThan">
      <formula>0.8</formula>
    </cfRule>
  </conditionalFormatting>
  <conditionalFormatting sqref="O68">
    <cfRule type="cellIs" dxfId="835" priority="42" operator="greaterThan">
      <formula>0</formula>
    </cfRule>
  </conditionalFormatting>
  <conditionalFormatting sqref="P68 AE68">
    <cfRule type="cellIs" dxfId="834" priority="45" operator="lessThan">
      <formula>0</formula>
    </cfRule>
  </conditionalFormatting>
  <conditionalFormatting sqref="Q68 AF68">
    <cfRule type="cellIs" dxfId="833" priority="43" operator="greaterThan">
      <formula>1</formula>
    </cfRule>
    <cfRule type="cellIs" dxfId="832" priority="44" operator="lessThan">
      <formula>0.8</formula>
    </cfRule>
  </conditionalFormatting>
  <conditionalFormatting sqref="R68 AG68">
    <cfRule type="cellIs" dxfId="831" priority="46" operator="lessThan">
      <formula>0.8</formula>
    </cfRule>
  </conditionalFormatting>
  <conditionalFormatting sqref="O20:O21">
    <cfRule type="cellIs" dxfId="830" priority="37" operator="greaterThan">
      <formula>0</formula>
    </cfRule>
  </conditionalFormatting>
  <conditionalFormatting sqref="P20:P21">
    <cfRule type="cellIs" dxfId="829" priority="40" operator="lessThan">
      <formula>0</formula>
    </cfRule>
  </conditionalFormatting>
  <conditionalFormatting sqref="Q20:Q21">
    <cfRule type="cellIs" dxfId="828" priority="38" operator="greaterThan">
      <formula>1</formula>
    </cfRule>
    <cfRule type="cellIs" dxfId="827" priority="39" operator="lessThan">
      <formula>0.8</formula>
    </cfRule>
  </conditionalFormatting>
  <conditionalFormatting sqref="R20:R21 AG20:AG21">
    <cfRule type="cellIs" dxfId="826" priority="41" operator="lessThan">
      <formula>0.8</formula>
    </cfRule>
  </conditionalFormatting>
  <conditionalFormatting sqref="O63">
    <cfRule type="cellIs" dxfId="825" priority="32" operator="greaterThan">
      <formula>0</formula>
    </cfRule>
  </conditionalFormatting>
  <conditionalFormatting sqref="P63">
    <cfRule type="cellIs" dxfId="824" priority="35" operator="lessThan">
      <formula>0</formula>
    </cfRule>
  </conditionalFormatting>
  <conditionalFormatting sqref="Q63">
    <cfRule type="cellIs" dxfId="823" priority="33" operator="greaterThan">
      <formula>1</formula>
    </cfRule>
    <cfRule type="cellIs" dxfId="822" priority="34" operator="lessThan">
      <formula>0.8</formula>
    </cfRule>
  </conditionalFormatting>
  <conditionalFormatting sqref="AG63 R63">
    <cfRule type="cellIs" dxfId="821" priority="36" operator="lessThan">
      <formula>0.8</formula>
    </cfRule>
  </conditionalFormatting>
  <conditionalFormatting sqref="R32 AG32">
    <cfRule type="cellIs" dxfId="820" priority="31" operator="lessThan">
      <formula>0.8</formula>
    </cfRule>
  </conditionalFormatting>
  <conditionalFormatting sqref="AG32">
    <cfRule type="cellIs" dxfId="819" priority="30" operator="lessThan">
      <formula>0.8</formula>
    </cfRule>
  </conditionalFormatting>
  <conditionalFormatting sqref="O67">
    <cfRule type="cellIs" dxfId="818" priority="25" operator="greaterThan">
      <formula>0</formula>
    </cfRule>
  </conditionalFormatting>
  <conditionalFormatting sqref="P67 AE67">
    <cfRule type="cellIs" dxfId="817" priority="28" operator="lessThan">
      <formula>0</formula>
    </cfRule>
  </conditionalFormatting>
  <conditionalFormatting sqref="Q67 AF67">
    <cfRule type="cellIs" dxfId="816" priority="26" operator="greaterThan">
      <formula>1</formula>
    </cfRule>
    <cfRule type="cellIs" dxfId="815" priority="27" operator="lessThan">
      <formula>0.8</formula>
    </cfRule>
  </conditionalFormatting>
  <conditionalFormatting sqref="R67 AG67">
    <cfRule type="cellIs" dxfId="814" priority="29" operator="lessThan">
      <formula>0.8</formula>
    </cfRule>
  </conditionalFormatting>
  <conditionalFormatting sqref="O22">
    <cfRule type="cellIs" dxfId="813" priority="20" operator="greaterThan">
      <formula>0</formula>
    </cfRule>
  </conditionalFormatting>
  <conditionalFormatting sqref="P22">
    <cfRule type="cellIs" dxfId="812" priority="23" operator="lessThan">
      <formula>0</formula>
    </cfRule>
  </conditionalFormatting>
  <conditionalFormatting sqref="Q22">
    <cfRule type="cellIs" dxfId="811" priority="21" operator="greaterThan">
      <formula>1</formula>
    </cfRule>
    <cfRule type="cellIs" dxfId="810" priority="22" operator="lessThan">
      <formula>0.8</formula>
    </cfRule>
  </conditionalFormatting>
  <conditionalFormatting sqref="AG22 R22">
    <cfRule type="cellIs" dxfId="809" priority="24" operator="lessThan">
      <formula>0.8</formula>
    </cfRule>
  </conditionalFormatting>
  <conditionalFormatting sqref="O23:O24">
    <cfRule type="cellIs" dxfId="808" priority="15" operator="greaterThan">
      <formula>0</formula>
    </cfRule>
  </conditionalFormatting>
  <conditionalFormatting sqref="P23:P24">
    <cfRule type="cellIs" dxfId="807" priority="18" operator="lessThan">
      <formula>0</formula>
    </cfRule>
  </conditionalFormatting>
  <conditionalFormatting sqref="Q23:Q24">
    <cfRule type="cellIs" dxfId="806" priority="16" operator="greaterThan">
      <formula>1</formula>
    </cfRule>
    <cfRule type="cellIs" dxfId="805" priority="17" operator="lessThan">
      <formula>0.8</formula>
    </cfRule>
  </conditionalFormatting>
  <conditionalFormatting sqref="AG23 R23">
    <cfRule type="cellIs" dxfId="804" priority="19" operator="lessThan">
      <formula>0.8</formula>
    </cfRule>
  </conditionalFormatting>
  <conditionalFormatting sqref="P8">
    <cfRule type="cellIs" dxfId="803" priority="14" operator="lessThan">
      <formula>0</formula>
    </cfRule>
  </conditionalFormatting>
  <conditionalFormatting sqref="P25">
    <cfRule type="cellIs" dxfId="802" priority="13" operator="lessThan">
      <formula>0</formula>
    </cfRule>
  </conditionalFormatting>
  <conditionalFormatting sqref="P33">
    <cfRule type="cellIs" dxfId="801" priority="12" operator="lessThan">
      <formula>0</formula>
    </cfRule>
  </conditionalFormatting>
  <conditionalFormatting sqref="P41">
    <cfRule type="cellIs" dxfId="800" priority="11" operator="lessThan">
      <formula>0</formula>
    </cfRule>
  </conditionalFormatting>
  <conditionalFormatting sqref="P55">
    <cfRule type="cellIs" dxfId="799" priority="10" operator="lessThan">
      <formula>0</formula>
    </cfRule>
  </conditionalFormatting>
  <conditionalFormatting sqref="P65">
    <cfRule type="cellIs" dxfId="798" priority="9" operator="lessThan">
      <formula>0</formula>
    </cfRule>
  </conditionalFormatting>
  <conditionalFormatting sqref="P70">
    <cfRule type="cellIs" dxfId="797" priority="8" operator="lessThan">
      <formula>0</formula>
    </cfRule>
  </conditionalFormatting>
  <conditionalFormatting sqref="P77">
    <cfRule type="cellIs" dxfId="796" priority="7" operator="lessThan">
      <formula>0</formula>
    </cfRule>
  </conditionalFormatting>
  <conditionalFormatting sqref="AG24 R24">
    <cfRule type="cellIs" dxfId="795" priority="6" operator="lessThan">
      <formula>0.8</formula>
    </cfRule>
  </conditionalFormatting>
  <conditionalFormatting sqref="O64">
    <cfRule type="cellIs" dxfId="794" priority="1" operator="greaterThan">
      <formula>0</formula>
    </cfRule>
  </conditionalFormatting>
  <conditionalFormatting sqref="P64">
    <cfRule type="cellIs" dxfId="793" priority="4" operator="lessThan">
      <formula>0</formula>
    </cfRule>
  </conditionalFormatting>
  <conditionalFormatting sqref="Q64">
    <cfRule type="cellIs" dxfId="792" priority="2" operator="greaterThan">
      <formula>1</formula>
    </cfRule>
    <cfRule type="cellIs" dxfId="791" priority="3" operator="lessThan">
      <formula>0.8</formula>
    </cfRule>
  </conditionalFormatting>
  <conditionalFormatting sqref="AG64 R64">
    <cfRule type="cellIs" dxfId="790" priority="5" operator="lessThan">
      <formula>0.8</formula>
    </cfRule>
  </conditionalFormatting>
  <dataValidations count="1">
    <dataValidation type="list" allowBlank="1" showInputMessage="1" showErrorMessage="1" sqref="AB8 AA5:AB7 AA8:AA69 AB10:AB66 AA70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15" sqref="E15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1135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1136</v>
      </c>
      <c r="C3" s="594" t="str">
        <f>TEXT('0712 4度C'!A2,"yyyy.mm.ddaaaa")</f>
        <v>2026.07.12星期日</v>
      </c>
      <c r="D3" s="595"/>
      <c r="E3" s="36" t="s">
        <v>1137</v>
      </c>
      <c r="F3" s="596">
        <f>'0712 4度C'!D1</f>
        <v>204034</v>
      </c>
      <c r="G3" s="597"/>
      <c r="H3" s="36" t="s">
        <v>1138</v>
      </c>
      <c r="I3" s="598">
        <f>'0712 4度C'!F1</f>
        <v>7025519.9400000004</v>
      </c>
      <c r="J3" s="599"/>
      <c r="K3" s="37"/>
      <c r="L3" s="38"/>
      <c r="M3" s="39"/>
      <c r="N3" s="39"/>
    </row>
    <row r="4" spans="2:17" ht="28.5" customHeight="1">
      <c r="B4" s="600" t="s">
        <v>1139</v>
      </c>
      <c r="C4" s="586" t="s">
        <v>1140</v>
      </c>
      <c r="D4" s="587"/>
      <c r="E4" s="603" t="s">
        <v>1141</v>
      </c>
      <c r="F4" s="604"/>
      <c r="G4" s="603" t="s">
        <v>1142</v>
      </c>
      <c r="H4" s="604"/>
      <c r="I4" s="603" t="s">
        <v>1143</v>
      </c>
      <c r="J4" s="604"/>
      <c r="K4" s="584" t="s">
        <v>1144</v>
      </c>
      <c r="L4" s="585"/>
      <c r="M4" s="585" t="s">
        <v>1145</v>
      </c>
      <c r="N4" s="585"/>
    </row>
    <row r="5" spans="2:17" ht="28.5" customHeight="1">
      <c r="B5" s="601"/>
      <c r="C5" s="586" t="s">
        <v>1146</v>
      </c>
      <c r="D5" s="587"/>
      <c r="E5" s="586" t="s">
        <v>1147</v>
      </c>
      <c r="F5" s="587"/>
      <c r="G5" s="588" t="s">
        <v>1148</v>
      </c>
      <c r="H5" s="589"/>
      <c r="I5" s="590" t="s">
        <v>1149</v>
      </c>
      <c r="J5" s="591"/>
      <c r="K5" s="40" t="s">
        <v>1150</v>
      </c>
      <c r="L5" s="41" t="s">
        <v>1151</v>
      </c>
      <c r="M5" s="40" t="s">
        <v>1152</v>
      </c>
      <c r="N5" s="41" t="s">
        <v>1153</v>
      </c>
    </row>
    <row r="6" spans="2:17" ht="28.5" customHeight="1">
      <c r="B6" s="601"/>
      <c r="C6" s="586" t="s">
        <v>41</v>
      </c>
      <c r="D6" s="587"/>
      <c r="E6" s="578">
        <f>AVERAGE(D13:M13)</f>
        <v>157.60429116584521</v>
      </c>
      <c r="F6" s="579">
        <f>AVERAGE(D31:O31,D13:J13)</f>
        <v>167.42989974472485</v>
      </c>
      <c r="G6" s="580">
        <f>AVERAGE(D13:J13)</f>
        <v>167.42989974472485</v>
      </c>
      <c r="H6" s="581"/>
      <c r="I6" s="580">
        <f>AVERAGE(K13:M13)</f>
        <v>134.67787114845939</v>
      </c>
      <c r="J6" s="581"/>
      <c r="K6" s="582">
        <f>'0712 4度C'!Y2</f>
        <v>0</v>
      </c>
      <c r="L6" s="567">
        <f>'0712 4度C'!Z2</f>
        <v>0</v>
      </c>
      <c r="M6" s="583">
        <f>'0712 4度C'!AC2</f>
        <v>64</v>
      </c>
      <c r="N6" s="567">
        <f>'0712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151.05092995138017</v>
      </c>
      <c r="F7" s="571">
        <f>AVERAGE(D32:O32,D14:J14)</f>
        <v>160.58781225843194</v>
      </c>
      <c r="G7" s="572">
        <f>AVERAGE(D14:J14)</f>
        <v>160.58781225843194</v>
      </c>
      <c r="H7" s="573"/>
      <c r="I7" s="572">
        <f>AVERAGE(K14:M14)</f>
        <v>128.79820456825939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0.95761080715530544</v>
      </c>
      <c r="F8" s="575">
        <f>AVERAGE(D15:J15,D33:O33)</f>
        <v>0.95815429160372567</v>
      </c>
      <c r="G8" s="576">
        <f>AVERAGE(D15:J15)</f>
        <v>0.95815429160372567</v>
      </c>
      <c r="H8" s="577"/>
      <c r="I8" s="576">
        <f>AVERAGE(K15:M15)</f>
        <v>0.95634267677565832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1154</v>
      </c>
      <c r="N9" s="39"/>
      <c r="O9" s="39"/>
      <c r="P9" s="39"/>
      <c r="Q9" s="39"/>
    </row>
    <row r="10" spans="2:17" ht="30" customHeight="1">
      <c r="B10" s="550" t="s">
        <v>1155</v>
      </c>
      <c r="C10" s="551"/>
      <c r="D10" s="552" t="s">
        <v>1156</v>
      </c>
      <c r="E10" s="553"/>
      <c r="F10" s="553"/>
      <c r="G10" s="553"/>
      <c r="H10" s="553"/>
      <c r="I10" s="553"/>
      <c r="J10" s="554"/>
      <c r="K10" s="555" t="s">
        <v>1157</v>
      </c>
      <c r="L10" s="556"/>
      <c r="M10" s="557"/>
      <c r="P10" s="45"/>
      <c r="Q10" s="45"/>
    </row>
    <row r="11" spans="2:17" ht="17.25" customHeight="1">
      <c r="B11" s="558" t="s">
        <v>1158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1159</v>
      </c>
      <c r="C13" s="52" t="s">
        <v>1160</v>
      </c>
      <c r="D13" s="53">
        <f>SUMIFS('0712 4度C'!$K:$K,'0712 4度C'!$A:$A,"新豐6線",'0712 4度C'!$B:$B,"平均")</f>
        <v>127.65957446808511</v>
      </c>
      <c r="E13" s="54">
        <f>SUMIFS('0712 4度C'!$K:$K,'0712 4度C'!$A:$A,"新豐2線",'0712 4度C'!$B:$B,"平均")</f>
        <v>84.905660377358487</v>
      </c>
      <c r="F13" s="55">
        <f>SUMIFS('0712 4度C'!$K:$K,'0712 4度C'!$A:$A,"新豐5線",'0712 4度C'!$B:$B,"平均")</f>
        <v>98.726114649681534</v>
      </c>
      <c r="G13" s="55">
        <f>SUMIFS('0712 4度C'!$K:$K,'0712 4度C'!$A:$A,"新豐7線",'0712 4度C'!$B:$B,"平均")</f>
        <v>133.33333333333334</v>
      </c>
      <c r="H13" s="55">
        <f>SUMIFS('0712 4度C'!$K:$K,'0712 4度C'!$A:$A,"新豐3線",'0712 4度C'!$B:$B,"平均")</f>
        <v>307.69230769230768</v>
      </c>
      <c r="I13" s="55">
        <f>SUMIFS('0712 4度C'!$K:$K,'0712 4度C'!$A:$A,"新豐1線",'0712 4度C'!$B:$B,"平均")</f>
        <v>112</v>
      </c>
      <c r="J13" s="56">
        <f>SUMIFS('0712 4度C'!$K:$K,'0712 4度C'!$A:$A,"新豐10線",'0712 4度C'!$B:$B,"平均")</f>
        <v>307.69230769230768</v>
      </c>
      <c r="K13" s="57">
        <f>SUMIFS('0712 4度C'!$K:$K,'0712 4度C'!$A:$A,"新豐8線",'0712 4度C'!$B:$B,"平均")</f>
        <v>137.14285714285714</v>
      </c>
      <c r="L13" s="58">
        <f>SUMIFS('0712 4度C'!$K:$K,'0712 4度C'!$A:$A,"新豐9線",'0712 4度C'!$B:$B,"平均")</f>
        <v>125.71428571428571</v>
      </c>
      <c r="M13" s="56">
        <f>SUMIFS('0712 4度C'!$K:$K,'0712 4度C'!$A:$A,"新豐4線",'0712 4度C'!$B:$B,"平均")</f>
        <v>141.1764705882353</v>
      </c>
    </row>
    <row r="14" spans="2:17" ht="39.6" customHeight="1">
      <c r="B14" s="563"/>
      <c r="C14" s="59" t="s">
        <v>1161</v>
      </c>
      <c r="D14" s="60">
        <f>SUMIFS('0712 4度C'!$N:$N,'0712 4度C'!$A:$A,"新豐6線",'0712 4度C'!$B:$B,"平均")</f>
        <v>122.28302541831252</v>
      </c>
      <c r="E14" s="61">
        <f>SUMIFS('0712 4度C'!$N:$N,'0712 4度C'!$A:$A,"新豐2線",'0712 4度C'!$B:$B,"平均")</f>
        <v>81.045798898165373</v>
      </c>
      <c r="F14" s="61">
        <f>SUMIFS('0712 4度C'!$N:$N,'0712 4度C'!$A:$A,"新豐5線",'0712 4度C'!$B:$B,"平均")</f>
        <v>94.379861406800657</v>
      </c>
      <c r="G14" s="61">
        <f>SUMIFS('0712 4度C'!$N:$N,'0712 4度C'!$A:$A,"新豐7線",'0712 4度C'!$B:$B,"平均")</f>
        <v>127.82918408141182</v>
      </c>
      <c r="H14" s="61">
        <f>SUMIFS('0712 4度C'!$N:$N,'0712 4度C'!$A:$A,"新豐3線",'0712 4度C'!$B:$B,"平均")</f>
        <v>295.54475234910018</v>
      </c>
      <c r="I14" s="61">
        <f>SUMIFS('0712 4度C'!$N:$N,'0712 4度C'!$A:$A,"新豐1線",'0712 4度C'!$B:$B,"平均")</f>
        <v>107.34860822177745</v>
      </c>
      <c r="J14" s="62">
        <f>SUMIFS('0712 4度C'!$N:$N,'0712 4度C'!$A:$A,"新豐10線",'0712 4度C'!$B:$B,"平均")</f>
        <v>295.68345543345555</v>
      </c>
      <c r="K14" s="63">
        <f>SUMIFS('0712 4度C'!$N:$N,'0712 4度C'!$A:$A,"新豐8線",'0712 4度C'!$B:$B,"平均")</f>
        <v>131.19514576020279</v>
      </c>
      <c r="L14" s="64">
        <f>SUMIFS('0712 4度C'!$N:$N,'0712 4度C'!$A:$A,"新豐9線",'0712 4度C'!$B:$B,"平均")</f>
        <v>120.21625809380441</v>
      </c>
      <c r="M14" s="62">
        <f>SUMIFS('0712 4度C'!$N:$N,'0712 4度C'!$A:$A,"新豐4線",'0712 4度C'!$B:$B,"平均")</f>
        <v>134.98320985077098</v>
      </c>
    </row>
    <row r="15" spans="2:17" ht="40.15" customHeight="1">
      <c r="B15" s="564"/>
      <c r="C15" s="65" t="s">
        <v>1162</v>
      </c>
      <c r="D15" s="66">
        <f t="shared" ref="D15:M15" si="0">D14/D13</f>
        <v>0.95788369911011473</v>
      </c>
      <c r="E15" s="67">
        <f t="shared" si="0"/>
        <v>0.95453940924505887</v>
      </c>
      <c r="F15" s="67">
        <f t="shared" si="0"/>
        <v>0.95597666070114207</v>
      </c>
      <c r="G15" s="67">
        <f t="shared" si="0"/>
        <v>0.95871888061058863</v>
      </c>
      <c r="H15" s="67">
        <f t="shared" si="0"/>
        <v>0.96052044513457557</v>
      </c>
      <c r="I15" s="67">
        <f t="shared" si="0"/>
        <v>0.95846971626587008</v>
      </c>
      <c r="J15" s="68">
        <f t="shared" si="0"/>
        <v>0.96097123015873054</v>
      </c>
      <c r="K15" s="66">
        <f t="shared" si="0"/>
        <v>0.95663127116814539</v>
      </c>
      <c r="L15" s="67">
        <f t="shared" si="0"/>
        <v>0.9562656893825352</v>
      </c>
      <c r="M15" s="68">
        <f t="shared" si="0"/>
        <v>0.95613106977629436</v>
      </c>
    </row>
    <row r="16" spans="2:17" ht="17.25" customHeight="1">
      <c r="B16" s="565" t="s">
        <v>1163</v>
      </c>
      <c r="C16" s="69" t="s">
        <v>1164</v>
      </c>
      <c r="D16" s="70">
        <f>VLOOKUP("新豐6線",'0712 4度C'!$A:$T,19,0)</f>
        <v>0.70833333333333337</v>
      </c>
      <c r="E16" s="71">
        <f>VLOOKUP("新豐2線",'0712 4度C'!$A:$T,19,0)</f>
        <v>8.3333333333333329E-2</v>
      </c>
      <c r="F16" s="71">
        <f>VLOOKUP("新豐5線",'0712 4度C'!$A:$T,19,0)</f>
        <v>8.3333333333333329E-2</v>
      </c>
      <c r="G16" s="71">
        <f>VLOOKUP("新豐7線",'0712 4度C'!$A:$T,19,0)</f>
        <v>0.20833333333333334</v>
      </c>
      <c r="H16" s="71">
        <f>VLOOKUP("新豐3線",'0712 4度C'!$A:$T,19,0)</f>
        <v>0.20833333333333334</v>
      </c>
      <c r="I16" s="71">
        <f>VLOOKUP("新豐1線",'0712 4度C'!$A:$T,19,0)</f>
        <v>0.20833333333333334</v>
      </c>
      <c r="J16" s="72">
        <f>VLOOKUP("新豐10線",'0712 4度C'!$A:$T,19,0)</f>
        <v>0.20833333333333334</v>
      </c>
      <c r="K16" s="73">
        <f>VLOOKUP("新豐8線",'0712 4度C'!$A:$T,19,0)</f>
        <v>8.3333333333333329E-2</v>
      </c>
      <c r="L16" s="74">
        <f>VLOOKUP("新豐9線",'0712 4度C'!$A:$T,19,0)</f>
        <v>8.3333333333333329E-2</v>
      </c>
      <c r="M16" s="75">
        <f>VLOOKUP("新豐4線",'0712 4度C'!$A:$T,19,0)</f>
        <v>8.3333333333333329E-2</v>
      </c>
    </row>
    <row r="17" spans="2:13" ht="17.25" customHeight="1">
      <c r="B17" s="566"/>
      <c r="C17" s="69" t="s">
        <v>1165</v>
      </c>
      <c r="D17" s="73">
        <f>LOOKUP(2,1/(('0712 4度C'!$A:$A="新豐6線")*('0712 4度C'!$T:$T&lt;&gt;"")),'0712 4度C'!$T:$T)</f>
        <v>0.89444444444444438</v>
      </c>
      <c r="E17" s="71">
        <f>LOOKUP(2,1/(('0712 4度C'!$A:$A="新豐2線")*('0712 4度C'!$T:$T&lt;&gt;"")),'0712 4度C'!$T:$T)</f>
        <v>0.74722222222222223</v>
      </c>
      <c r="F17" s="71">
        <f>LOOKUP(2,1/(('0712 4度C'!$A:$A="新豐5線")*('0712 4度C'!$T:$T&lt;&gt;"")),'0712 4度C'!$T:$T)</f>
        <v>0.83055555555555549</v>
      </c>
      <c r="G17" s="71">
        <f>LOOKUP(2,1/(('0712 4度C'!$A:$A="新豐7線")*('0712 4度C'!$T:$T&lt;&gt;"")),'0712 4度C'!$T:$T)</f>
        <v>0.90902777777777777</v>
      </c>
      <c r="H17" s="71">
        <f>LOOKUP(2,1/(('0712 4度C'!$A:$A="新豐3線")*('0712 4度C'!$T:$T&lt;&gt;"")),'0712 4度C'!$T:$T)</f>
        <v>0.46597222222222218</v>
      </c>
      <c r="I17" s="71">
        <f>LOOKUP(2,1/(('0712 4度C'!$A:$A="新豐1線")*('0712 4度C'!$T:$T&lt;&gt;"")),'0712 4度C'!$T:$T)</f>
        <v>0.83680555555555558</v>
      </c>
      <c r="J17" s="72">
        <f>LOOKUP(2,1/(('0712 4度C'!$A:$A="新豐10線")*('0712 4度C'!$T:$T&lt;&gt;"")),'0712 4度C'!$T:$T)</f>
        <v>0.42986111111111103</v>
      </c>
      <c r="K17" s="70">
        <f>LOOKUP(2,1/(('0712 4度C'!$A:$A="新豐8線")*('0712 4度C'!$T:$T&lt;&gt;"")),'0712 4度C'!$T:$T)</f>
        <v>0.7451388888888888</v>
      </c>
      <c r="L17" s="71">
        <f>LOOKUP(2,1/(('0712 4度C'!$A:$A="新豐9線")*('0712 4度C'!$T:$T&lt;&gt;"")),'0712 4度C'!$T:$T)</f>
        <v>0.75555555555555554</v>
      </c>
      <c r="M17" s="72">
        <f>LOOKUP(2,1/(('0712 4度C'!$A:$A="新豐4線")*('0712 4度C'!$T:$T&lt;&gt;"")),'0712 4度C'!$T:$T)</f>
        <v>0.7222222222222221</v>
      </c>
    </row>
    <row r="18" spans="2:13" ht="17.25" customHeight="1">
      <c r="B18" s="544" t="s">
        <v>1166</v>
      </c>
      <c r="C18" s="76" t="s">
        <v>1167</v>
      </c>
      <c r="D18" s="77">
        <f>SUMIFS('0712 4度C'!$Y:$Y,'0712 4度C'!$A:$A,"新豐6線",'0712 4度C'!$B:$B,"平均")</f>
        <v>0</v>
      </c>
      <c r="E18" s="78">
        <f>SUMIFS('0712 4度C'!$Y:$Y,'0712 4度C'!$A:$A,"新豐2線",'0712 4度C'!$B:$B,"平均")</f>
        <v>0</v>
      </c>
      <c r="F18" s="78">
        <f>SUMIFS('0712 4度C'!$Y:$Y,'0712 4度C'!$A:$A,"新豐5線",'0712 4度C'!$B:$B,"平均")</f>
        <v>0</v>
      </c>
      <c r="G18" s="78">
        <f>SUMIFS('0712 4度C'!$Y:$Y,'0712 4度C'!$A:$A,"新豐7線",'0712 4度C'!$B:$B,"平均")</f>
        <v>0</v>
      </c>
      <c r="H18" s="78">
        <f>SUMIFS('0712 4度C'!$Y:$Y,'0712 4度C'!$A:$A,"新豐3線",'0712 4度C'!$B:$B,"平均")</f>
        <v>0</v>
      </c>
      <c r="I18" s="78">
        <f>SUMIFS('0712 4度C'!$Y:$Y,'0712 4度C'!$A:$A,"新豐1線",'0712 4度C'!$B:$B,"平均")</f>
        <v>0</v>
      </c>
      <c r="J18" s="79">
        <f>SUMIFS('0712 4度C'!$Y:$Y,'0712 4度C'!$A:$A,"新豐10線",'0712 4度C'!$B:$B,"平均")</f>
        <v>0</v>
      </c>
      <c r="K18" s="80">
        <f>SUMIFS('0712 4度C'!$Y:$Y,'0712 4度C'!$A:$A,"新豐8線",'0712 4度C'!$B:$B,"平均")</f>
        <v>0</v>
      </c>
      <c r="L18" s="78">
        <f>SUMIFS('0712 4度C'!$Y:$Y,'0712 4度C'!$A:$A,"新豐9線",'0712 4度C'!$B:$B,"平均")</f>
        <v>0</v>
      </c>
      <c r="M18" s="79">
        <f>SUMIFS('0712 4度C'!$Y:$Y,'0712 4度C'!$A:$A,"新豐4線",'0712 4度C'!$B:$B,"平均")</f>
        <v>0</v>
      </c>
    </row>
    <row r="19" spans="2:13" ht="17.25" customHeight="1">
      <c r="B19" s="545"/>
      <c r="C19" s="76" t="s">
        <v>1168</v>
      </c>
      <c r="D19" s="77">
        <f>SUMIFS('0712 4度C'!$Z:$Z,'0712 4度C'!$A:$A,"新豐6線",'0712 4度C'!$B:$B,"平均")</f>
        <v>0</v>
      </c>
      <c r="E19" s="78">
        <f>SUMIFS('0712 4度C'!$Z:$Z,'0712 4度C'!$A:$A,"新豐2線",'0712 4度C'!$B:$B,"平均")</f>
        <v>0</v>
      </c>
      <c r="F19" s="78">
        <f>SUMIFS('0712 4度C'!$Z:$Z,'0712 4度C'!$A:$A,"新豐5線",'0712 4度C'!$B:$B,"平均")</f>
        <v>0</v>
      </c>
      <c r="G19" s="78">
        <f>SUMIFS('0712 4度C'!$Z:$Z,'0712 4度C'!$A:$A,"新豐7線",'0712 4度C'!$B:$B,"平均")</f>
        <v>0</v>
      </c>
      <c r="H19" s="78">
        <f>SUMIFS('0712 4度C'!$Z:$Z,'0712 4度C'!$A:$A,"新豐3線",'0712 4度C'!$B:$B,"平均")</f>
        <v>0</v>
      </c>
      <c r="I19" s="78">
        <f>SUMIFS('0712 4度C'!$Z:$Z,'0712 4度C'!$A:$A,"新豐1線",'0712 4度C'!$B:$B,"平均")</f>
        <v>0</v>
      </c>
      <c r="J19" s="79">
        <f>SUMIFS('0712 4度C'!$Z:$Z,'0712 4度C'!$A:$A,"新豐10線",'0712 4度C'!$B:$B,"平均")</f>
        <v>0</v>
      </c>
      <c r="K19" s="80">
        <f>SUMIFS('0712 4度C'!$Z:$Z,'0712 4度C'!$A:$A,"新豐8線",'0712 4度C'!$B:$B,"平均")</f>
        <v>0</v>
      </c>
      <c r="L19" s="78">
        <f>SUMIFS('0712 4度C'!$Z:$Z,'0712 4度C'!$A:$A,"新豐9線",'0712 4度C'!$B:$B,"平均")</f>
        <v>0</v>
      </c>
      <c r="M19" s="79">
        <f>SUMIFS('0712 4度C'!$Z:$Z,'0712 4度C'!$A:$A,"新豐4線",'0712 4度C'!$B:$B,"平均")</f>
        <v>0</v>
      </c>
    </row>
    <row r="20" spans="2:13" ht="17.25" customHeight="1">
      <c r="B20" s="544" t="s">
        <v>1169</v>
      </c>
      <c r="C20" s="76" t="s">
        <v>1167</v>
      </c>
      <c r="D20" s="77">
        <f>SUMIFS('0712 4度C'!$AC:$AC,'0712 4度C'!$A:$A,"新豐6線",'0712 4度C'!$B:$B,"平均")</f>
        <v>3</v>
      </c>
      <c r="E20" s="78">
        <f>SUMIFS('0712 4度C'!$AC:$AC,'0712 4度C'!$A:$A,"新豐2線",'0712 4度C'!$B:$B,"平均")</f>
        <v>6</v>
      </c>
      <c r="F20" s="78">
        <f>SUMIFS('0712 4度C'!$AC:$AC,'0712 4度C'!$A:$A,"新豐5線",'0712 4度C'!$B:$B,"平均")</f>
        <v>9</v>
      </c>
      <c r="G20" s="78">
        <f>SUMIFS('0712 4度C'!$AC:$AC,'0712 4度C'!$A:$A,"新豐7線",'0712 4度C'!$B:$B,"平均")</f>
        <v>7</v>
      </c>
      <c r="H20" s="78">
        <f>SUMIFS('0712 4度C'!$AC:$AC,'0712 4度C'!$A:$A,"新豐3線",'0712 4度C'!$B:$B,"平均")</f>
        <v>4</v>
      </c>
      <c r="I20" s="78">
        <f>SUMIFS('0712 4度C'!$AC:$AC,'0712 4度C'!$A:$A,"新豐1線",'0712 4度C'!$B:$B,"平均")</f>
        <v>7</v>
      </c>
      <c r="J20" s="79">
        <f>SUMIFS('0712 4度C'!$AC:$AC,'0712 4度C'!$A:$A,"新豐10線",'0712 4度C'!$B:$B,"平均")</f>
        <v>4</v>
      </c>
      <c r="K20" s="80">
        <f>SUMIFS('0712 4度C'!$AC:$AC,'0712 4度C'!$A:$A,"新豐8線",'0712 4度C'!$B:$B,"平均")</f>
        <v>8</v>
      </c>
      <c r="L20" s="78">
        <f>SUMIFS('0712 4度C'!$AC:$AC,'0712 4度C'!$A:$A,"新豐9線",'0712 4度C'!$B:$B,"平均")</f>
        <v>8</v>
      </c>
      <c r="M20" s="79">
        <f>SUMIFS('0712 4度C'!$AC:$AC,'0712 4度C'!$A:$A,"新豐4線",'0712 4度C'!$B:$B,"平均")</f>
        <v>8</v>
      </c>
    </row>
    <row r="21" spans="2:13" ht="17.25" customHeight="1">
      <c r="B21" s="545"/>
      <c r="C21" s="76" t="s">
        <v>1170</v>
      </c>
      <c r="D21" s="77">
        <f>SUMIFS('0712 4度C'!$AD:$AD,'0712 4度C'!$A:$A,"新豐6線",'0712 4度C'!$B:$B,"平均")</f>
        <v>0</v>
      </c>
      <c r="E21" s="78">
        <f>SUMIFS('0712 4度C'!$AD:$AD,'0712 4度C'!$A:$A,"新豐2線",'0712 4度C'!$B:$B,"平均")</f>
        <v>0</v>
      </c>
      <c r="F21" s="78">
        <f>SUMIFS('0712 4度C'!$AD:$AD,'0712 4度C'!$A:$A,"新豐5線",'0712 4度C'!$B:$B,"平均")</f>
        <v>0</v>
      </c>
      <c r="G21" s="78">
        <f>SUMIFS('0712 4度C'!$AD:$AD,'0712 4度C'!$A:$A,"新豐7線",'0712 4度C'!$B:$B,"平均")</f>
        <v>0</v>
      </c>
      <c r="H21" s="78">
        <f>SUMIFS('0712 4度C'!$AD:$AD,'0712 4度C'!$A:$A,"新豐3線",'0712 4度C'!$B:$B,"平均")</f>
        <v>0</v>
      </c>
      <c r="I21" s="78">
        <f>SUMIFS('0712 4度C'!$AD:$AD,'0712 4度C'!$A:$A,"新豐1線",'0712 4度C'!$B:$B,"平均")</f>
        <v>0</v>
      </c>
      <c r="J21" s="79">
        <f>SUMIFS('0712 4度C'!$AD:$AD,'0712 4度C'!$A:$A,"新豐10線",'0712 4度C'!$B:$B,"平均")</f>
        <v>0</v>
      </c>
      <c r="K21" s="80">
        <f>SUMIFS('0712 4度C'!$AD:$AD,'0712 4度C'!$A:$A,"新豐8線",'0712 4度C'!$B:$B,"平均")</f>
        <v>0</v>
      </c>
      <c r="L21" s="78">
        <f>SUMIFS('0712 4度C'!$AD:$AD,'0712 4度C'!$A:$A,"新豐9線",'0712 4度C'!$B:$B,"平均")</f>
        <v>0</v>
      </c>
      <c r="M21" s="79">
        <f>SUMIFS('0712 4度C'!$AD:$AD,'0712 4度C'!$A:$A,"新豐4線",'0712 4度C'!$B:$B,"平均")</f>
        <v>0</v>
      </c>
    </row>
    <row r="22" spans="2:13" ht="17.25" customHeight="1">
      <c r="B22" s="546" t="s">
        <v>1171</v>
      </c>
      <c r="C22" s="547"/>
      <c r="D22" s="81">
        <f>SUMIFS('0712 4度C'!$I:$I,'0712 4度C'!$A:$A,"新豐6線",'0712 4度C'!$B:$B,"平均")</f>
        <v>15.666666666666666</v>
      </c>
      <c r="E22" s="82">
        <f>SUMIFS('0712 4度C'!$I:$I,'0712 4度C'!$A:$A,"新豐2線",'0712 4度C'!$B:$B,"平均")</f>
        <v>17.666666666666668</v>
      </c>
      <c r="F22" s="82">
        <f>SUMIFS('0712 4度C'!$I:$I,'0712 4度C'!$A:$A,"新豐5線",'0712 4度C'!$B:$B,"平均")</f>
        <v>17.444444444444443</v>
      </c>
      <c r="G22" s="82">
        <f>SUMIFS('0712 4度C'!$I:$I,'0712 4度C'!$A:$A,"新豐7線",'0712 4度C'!$B:$B,"平均")</f>
        <v>15</v>
      </c>
      <c r="H22" s="82">
        <f>SUMIFS('0712 4度C'!$I:$I,'0712 4度C'!$A:$A,"新豐3線",'0712 4度C'!$B:$B,"平均")</f>
        <v>9.75</v>
      </c>
      <c r="I22" s="82">
        <f>SUMIFS('0712 4度C'!$I:$I,'0712 4度C'!$A:$A,"新豐1線",'0712 4度C'!$B:$B,"平均")</f>
        <v>17.857142857142858</v>
      </c>
      <c r="J22" s="83">
        <f>SUMIFS('0712 4度C'!$I:$I,'0712 4度C'!$A:$A,"新豐10線",'0712 4度C'!$B:$B,"平均")</f>
        <v>9.75</v>
      </c>
      <c r="K22" s="81">
        <f>SUMIFS('0712 4度C'!$I:$I,'0712 4度C'!$A:$A,"新豐8線",'0712 4度C'!$B:$B,"平均")</f>
        <v>17.5</v>
      </c>
      <c r="L22" s="82">
        <f>SUMIFS('0712 4度C'!$I:$I,'0712 4度C'!$A:$A,"新豐9線",'0712 4度C'!$B:$B,"平均")</f>
        <v>17.5</v>
      </c>
      <c r="M22" s="83">
        <f>SUMIFS('0712 4度C'!$I:$I,'0712 4度C'!$A:$A,"新豐4線",'0712 4度C'!$B:$B,"平均")</f>
        <v>17</v>
      </c>
    </row>
    <row r="23" spans="2:13" ht="17.25" customHeight="1">
      <c r="B23" s="546" t="s">
        <v>1172</v>
      </c>
      <c r="C23" s="547"/>
      <c r="D23" s="84" t="s">
        <v>54</v>
      </c>
      <c r="E23" s="85" t="s">
        <v>55</v>
      </c>
      <c r="F23" s="85" t="s">
        <v>1173</v>
      </c>
      <c r="G23" s="85" t="s">
        <v>1173</v>
      </c>
      <c r="H23" s="85" t="s">
        <v>56</v>
      </c>
      <c r="I23" s="85" t="s">
        <v>54</v>
      </c>
      <c r="J23" s="86" t="s">
        <v>56</v>
      </c>
      <c r="K23" s="84" t="s">
        <v>669</v>
      </c>
      <c r="L23" s="85" t="s">
        <v>669</v>
      </c>
      <c r="M23" s="86" t="s">
        <v>669</v>
      </c>
    </row>
    <row r="24" spans="2:13" ht="17.25" customHeight="1">
      <c r="B24" s="546" t="s">
        <v>1174</v>
      </c>
      <c r="C24" s="547"/>
      <c r="D24" s="84"/>
      <c r="E24" s="85"/>
      <c r="F24" s="85" t="s">
        <v>1175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1176</v>
      </c>
      <c r="C25" s="549"/>
      <c r="D25" s="87"/>
      <c r="E25" s="88" t="s">
        <v>1177</v>
      </c>
      <c r="F25" s="542" t="s">
        <v>1178</v>
      </c>
      <c r="G25" s="543"/>
      <c r="H25" s="88" t="s">
        <v>1179</v>
      </c>
      <c r="I25" s="88" t="s">
        <v>1180</v>
      </c>
      <c r="J25" s="89" t="s">
        <v>1179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8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topLeftCell="I1" zoomScale="80" zoomScaleNormal="80" workbookViewId="0">
      <pane ySplit="4" topLeftCell="A26" activePane="bottomLeft" state="frozen"/>
      <selection activeCell="D12" sqref="D12"/>
      <selection pane="bottomLeft" activeCell="C12" sqref="C12:D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1181</v>
      </c>
      <c r="B1" s="1"/>
      <c r="C1" s="2" t="s">
        <v>1182</v>
      </c>
      <c r="D1" s="3">
        <f>SUM(F5:F78)</f>
        <v>204034</v>
      </c>
      <c r="E1" s="242" t="s">
        <v>1183</v>
      </c>
      <c r="F1" s="1">
        <f>SUM(G5:G78)</f>
        <v>7025519.9400000004</v>
      </c>
      <c r="G1" s="1" t="s">
        <v>1184</v>
      </c>
      <c r="H1" s="4">
        <f>L8+L15+L56+L64+L25+L69+L42+L51+L33+L78</f>
        <v>155.13492063492063</v>
      </c>
      <c r="I1" s="654" t="s">
        <v>1185</v>
      </c>
      <c r="J1" s="654"/>
      <c r="K1" s="654"/>
      <c r="L1" s="654" t="s">
        <v>1186</v>
      </c>
      <c r="M1" s="654"/>
      <c r="N1" s="654"/>
      <c r="O1" s="654" t="s">
        <v>1187</v>
      </c>
      <c r="P1" s="654"/>
      <c r="Q1" s="654"/>
      <c r="R1" s="654"/>
      <c r="S1" s="654" t="s">
        <v>1188</v>
      </c>
      <c r="T1" s="654"/>
      <c r="U1" s="654"/>
      <c r="V1" s="654"/>
      <c r="W1" s="654"/>
      <c r="X1" s="654"/>
      <c r="Y1" s="5" t="s">
        <v>1189</v>
      </c>
      <c r="Z1" s="6" t="s">
        <v>1190</v>
      </c>
      <c r="AA1" s="655" t="s">
        <v>1191</v>
      </c>
      <c r="AB1" s="655"/>
      <c r="AC1" s="92" t="s">
        <v>1189</v>
      </c>
      <c r="AD1" s="6" t="s">
        <v>1192</v>
      </c>
      <c r="AE1" s="654" t="s">
        <v>1193</v>
      </c>
      <c r="AF1" s="656"/>
      <c r="AG1" s="656"/>
    </row>
    <row r="2" spans="1:33" ht="26.25" customHeight="1">
      <c r="A2" s="25">
        <v>46215</v>
      </c>
      <c r="B2" s="26" t="s">
        <v>471</v>
      </c>
      <c r="C2" s="2" t="s">
        <v>1194</v>
      </c>
      <c r="D2" s="8">
        <f>AVERAGE(N8,N15,N56,N64,N25,N69,N33,N42,N51,N78)</f>
        <v>151.05092995138017</v>
      </c>
      <c r="E2" s="9" t="s">
        <v>0</v>
      </c>
      <c r="F2" s="10">
        <f>F1/D1</f>
        <v>34.433084387896137</v>
      </c>
      <c r="G2" s="1" t="s">
        <v>1195</v>
      </c>
      <c r="H2" s="252">
        <f>COUNT(H5:H78)</f>
        <v>15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SUM(Y8+Y15+Y25+Y33+Y42+Y51+Y56+Y64+Y69+Y78)</f>
        <v>0</v>
      </c>
      <c r="Z2" s="11">
        <f>SUM(Z8+Z15+Z25+Z33+Z42+Z51+Z56+Z64+Z69+Z78)</f>
        <v>0</v>
      </c>
      <c r="AA2" s="655"/>
      <c r="AB2" s="655"/>
      <c r="AC2" s="11">
        <f>SUM(AC8+AC15+AC25+AC33+AC42+AC51+AC56+AC64+AC69+AC78)</f>
        <v>64</v>
      </c>
      <c r="AD2" s="11">
        <f>SUM(AD8+AD15+AD25+AD33+AD42+AD51+AD56+AD64+AD69+AD78)</f>
        <v>0</v>
      </c>
      <c r="AE2" s="656"/>
      <c r="AF2" s="656"/>
      <c r="AG2" s="656"/>
    </row>
    <row r="3" spans="1:33" ht="40.5" customHeight="1">
      <c r="A3" s="612" t="s">
        <v>1196</v>
      </c>
      <c r="B3" s="612" t="s">
        <v>1197</v>
      </c>
      <c r="C3" s="612" t="s">
        <v>1198</v>
      </c>
      <c r="D3" s="612"/>
      <c r="E3" s="652" t="s">
        <v>1199</v>
      </c>
      <c r="F3" s="612" t="s">
        <v>1200</v>
      </c>
      <c r="G3" s="652" t="s">
        <v>1201</v>
      </c>
      <c r="H3" s="645" t="s">
        <v>1202</v>
      </c>
      <c r="I3" s="644" t="s">
        <v>1203</v>
      </c>
      <c r="J3" s="641" t="s">
        <v>1204</v>
      </c>
      <c r="K3" s="650" t="s">
        <v>1194</v>
      </c>
      <c r="L3" s="644" t="s">
        <v>1203</v>
      </c>
      <c r="M3" s="641" t="s">
        <v>1204</v>
      </c>
      <c r="N3" s="650" t="s">
        <v>1194</v>
      </c>
      <c r="O3" s="644" t="s">
        <v>1203</v>
      </c>
      <c r="P3" s="650" t="s">
        <v>1194</v>
      </c>
      <c r="Q3" s="642" t="s">
        <v>1205</v>
      </c>
      <c r="R3" s="621" t="s">
        <v>1206</v>
      </c>
      <c r="S3" s="612" t="s">
        <v>1</v>
      </c>
      <c r="T3" s="612"/>
      <c r="U3" s="645" t="s">
        <v>2</v>
      </c>
      <c r="V3" s="645" t="s">
        <v>1207</v>
      </c>
      <c r="W3" s="612" t="s">
        <v>1208</v>
      </c>
      <c r="X3" s="612"/>
      <c r="Y3" s="646" t="s">
        <v>1209</v>
      </c>
      <c r="Z3" s="611"/>
      <c r="AA3" s="647" t="s">
        <v>1210</v>
      </c>
      <c r="AB3" s="648"/>
      <c r="AC3" s="646" t="s">
        <v>1211</v>
      </c>
      <c r="AD3" s="611"/>
      <c r="AE3" s="641" t="s">
        <v>1212</v>
      </c>
      <c r="AF3" s="642" t="s">
        <v>1213</v>
      </c>
      <c r="AG3" s="621" t="s">
        <v>1206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42" t="s">
        <v>3</v>
      </c>
      <c r="T4" s="242" t="s">
        <v>4</v>
      </c>
      <c r="U4" s="645"/>
      <c r="V4" s="645"/>
      <c r="W4" s="242" t="s">
        <v>1214</v>
      </c>
      <c r="X4" s="242" t="s">
        <v>1215</v>
      </c>
      <c r="Y4" s="244" t="s">
        <v>1216</v>
      </c>
      <c r="Z4" s="244" t="s">
        <v>1217</v>
      </c>
      <c r="AA4" s="649"/>
      <c r="AB4" s="648"/>
      <c r="AC4" s="244" t="s">
        <v>1218</v>
      </c>
      <c r="AD4" s="244" t="s">
        <v>1219</v>
      </c>
      <c r="AE4" s="641"/>
      <c r="AF4" s="642"/>
      <c r="AG4" s="621"/>
    </row>
    <row r="5" spans="1:33">
      <c r="A5" s="643" t="s">
        <v>1220</v>
      </c>
      <c r="B5" s="27" t="s">
        <v>5</v>
      </c>
      <c r="C5" s="657" t="s">
        <v>14</v>
      </c>
      <c r="D5" s="657"/>
      <c r="E5" s="27">
        <v>50.92</v>
      </c>
      <c r="F5" s="253">
        <v>3151</v>
      </c>
      <c r="G5" s="242">
        <f t="shared" ref="G5:G7" si="0">E5*F5</f>
        <v>160448.92000000001</v>
      </c>
      <c r="H5" s="31" t="s">
        <v>40</v>
      </c>
      <c r="I5" s="250">
        <v>15</v>
      </c>
      <c r="J5" s="29">
        <v>2000</v>
      </c>
      <c r="K5" s="12">
        <f t="shared" ref="K5:K68" si="1">J5/I5</f>
        <v>133.33333333333334</v>
      </c>
      <c r="L5" s="250">
        <v>15</v>
      </c>
      <c r="M5" s="13">
        <f t="shared" ref="M5:M7" si="2">F5/V5*60</f>
        <v>1909.6969696969702</v>
      </c>
      <c r="N5" s="12">
        <f t="shared" ref="N5:N68" si="3">M5/L5</f>
        <v>127.31313131313135</v>
      </c>
      <c r="O5" s="14">
        <f t="shared" ref="O5:O68" si="4">L5-I5</f>
        <v>0</v>
      </c>
      <c r="P5" s="15">
        <f t="shared" ref="P5:P68" si="5">N5-K5</f>
        <v>-6.0202020202019924</v>
      </c>
      <c r="Q5" s="241">
        <f t="shared" ref="Q5:Q68" si="6">N5/K5</f>
        <v>0.95484848484848506</v>
      </c>
      <c r="R5" s="616">
        <f>Q8</f>
        <v>0.95788369911011473</v>
      </c>
      <c r="S5" s="32">
        <v>0.70833333333333337</v>
      </c>
      <c r="T5" s="32">
        <v>0.77708333333333335</v>
      </c>
      <c r="U5" s="242"/>
      <c r="V5" s="251">
        <f t="shared" ref="V5:V7" si="7">(T5-S5)*24*60</f>
        <v>98.999999999999972</v>
      </c>
      <c r="W5" s="16"/>
      <c r="X5" s="16"/>
      <c r="Y5" s="17"/>
      <c r="Z5" s="17"/>
      <c r="AA5" s="612"/>
      <c r="AB5" s="612"/>
      <c r="AC5" s="136">
        <v>3</v>
      </c>
      <c r="AD5" s="18"/>
      <c r="AE5" s="14">
        <f t="shared" ref="AE5:AE63" si="8">M5-J5</f>
        <v>-90.3030303030298</v>
      </c>
      <c r="AF5" s="241">
        <f t="shared" ref="AF5:AF68" si="9">M5/J5</f>
        <v>0.95484848484848506</v>
      </c>
      <c r="AG5" s="616">
        <f>AF8</f>
        <v>0.95788369911011462</v>
      </c>
    </row>
    <row r="6" spans="1:33">
      <c r="A6" s="644" t="s">
        <v>1221</v>
      </c>
      <c r="B6" s="27" t="s">
        <v>5</v>
      </c>
      <c r="C6" s="657" t="s">
        <v>19</v>
      </c>
      <c r="D6" s="657"/>
      <c r="E6" s="27">
        <v>50.98</v>
      </c>
      <c r="F6" s="253">
        <v>1700</v>
      </c>
      <c r="G6" s="242">
        <f t="shared" si="0"/>
        <v>86666</v>
      </c>
      <c r="H6" s="31">
        <v>2</v>
      </c>
      <c r="I6" s="250">
        <v>16</v>
      </c>
      <c r="J6" s="29">
        <v>2000</v>
      </c>
      <c r="K6" s="12">
        <f t="shared" si="1"/>
        <v>125</v>
      </c>
      <c r="L6" s="250">
        <v>16</v>
      </c>
      <c r="M6" s="13">
        <f t="shared" si="2"/>
        <v>1924.5283018867935</v>
      </c>
      <c r="N6" s="12">
        <f t="shared" si="3"/>
        <v>120.2830188679246</v>
      </c>
      <c r="O6" s="14">
        <f t="shared" si="4"/>
        <v>0</v>
      </c>
      <c r="P6" s="15">
        <f t="shared" si="5"/>
        <v>-4.7169811320754036</v>
      </c>
      <c r="Q6" s="241">
        <f t="shared" si="6"/>
        <v>0.96226415094339679</v>
      </c>
      <c r="R6" s="616"/>
      <c r="S6" s="32">
        <v>0.78194444444444444</v>
      </c>
      <c r="T6" s="32">
        <v>0.81874999999999998</v>
      </c>
      <c r="U6" s="242">
        <f t="shared" ref="U6:U7" si="10">IF(S6=TIME(17,0,0),"",(S6-T5)*24*60)</f>
        <v>6.9999999999999751</v>
      </c>
      <c r="V6" s="251">
        <f t="shared" si="7"/>
        <v>52.999999999999972</v>
      </c>
      <c r="W6" s="16">
        <f>T6</f>
        <v>0.81874999999999998</v>
      </c>
      <c r="X6" s="16">
        <f>S7</f>
        <v>0.85833333333333328</v>
      </c>
      <c r="Y6" s="16"/>
      <c r="Z6" s="16"/>
      <c r="AA6" s="612"/>
      <c r="AB6" s="612"/>
      <c r="AC6" s="136"/>
      <c r="AD6" s="18"/>
      <c r="AE6" s="14">
        <f t="shared" si="8"/>
        <v>-75.471698113206457</v>
      </c>
      <c r="AF6" s="241">
        <f t="shared" si="9"/>
        <v>0.96226415094339679</v>
      </c>
      <c r="AG6" s="616"/>
    </row>
    <row r="7" spans="1:33">
      <c r="A7" s="644" t="s">
        <v>1221</v>
      </c>
      <c r="B7" s="27" t="s">
        <v>5</v>
      </c>
      <c r="C7" s="638" t="s">
        <v>19</v>
      </c>
      <c r="D7" s="639"/>
      <c r="E7" s="27">
        <v>50.98</v>
      </c>
      <c r="F7" s="253">
        <v>1658</v>
      </c>
      <c r="G7" s="242">
        <f t="shared" si="0"/>
        <v>84524.84</v>
      </c>
      <c r="H7" s="31" t="s">
        <v>40</v>
      </c>
      <c r="I7" s="250">
        <v>16</v>
      </c>
      <c r="J7" s="29">
        <v>2000</v>
      </c>
      <c r="K7" s="12">
        <f t="shared" si="1"/>
        <v>125</v>
      </c>
      <c r="L7" s="250">
        <v>16</v>
      </c>
      <c r="M7" s="13">
        <f t="shared" si="2"/>
        <v>1913.076923076924</v>
      </c>
      <c r="N7" s="12">
        <f t="shared" si="3"/>
        <v>119.56730769230775</v>
      </c>
      <c r="O7" s="14">
        <f t="shared" si="4"/>
        <v>0</v>
      </c>
      <c r="P7" s="15">
        <f t="shared" si="5"/>
        <v>-5.4326923076922498</v>
      </c>
      <c r="Q7" s="241">
        <f t="shared" si="6"/>
        <v>0.956538461538462</v>
      </c>
      <c r="R7" s="616"/>
      <c r="S7" s="32">
        <v>0.85833333333333328</v>
      </c>
      <c r="T7" s="32">
        <v>0.89444444444444438</v>
      </c>
      <c r="U7" s="242">
        <f t="shared" si="10"/>
        <v>56.999999999999957</v>
      </c>
      <c r="V7" s="251">
        <f t="shared" si="7"/>
        <v>51.999999999999972</v>
      </c>
      <c r="W7" s="16"/>
      <c r="X7" s="16"/>
      <c r="Y7" s="19"/>
      <c r="Z7" s="19"/>
      <c r="AA7" s="607"/>
      <c r="AB7" s="608"/>
      <c r="AC7" s="136"/>
      <c r="AD7" s="267"/>
      <c r="AE7" s="14">
        <f t="shared" si="8"/>
        <v>-86.923076923075996</v>
      </c>
      <c r="AF7" s="241">
        <f t="shared" si="9"/>
        <v>0.956538461538462</v>
      </c>
      <c r="AG7" s="616"/>
    </row>
    <row r="8" spans="1:33">
      <c r="A8" s="644" t="s">
        <v>1221</v>
      </c>
      <c r="B8" s="27" t="s">
        <v>1222</v>
      </c>
      <c r="C8" s="658"/>
      <c r="D8" s="658"/>
      <c r="E8" s="243"/>
      <c r="F8" s="28"/>
      <c r="G8" s="12"/>
      <c r="H8" s="253"/>
      <c r="I8" s="21">
        <v>15.666666666666666</v>
      </c>
      <c r="J8" s="29">
        <v>2000</v>
      </c>
      <c r="K8" s="12">
        <f t="shared" si="1"/>
        <v>127.65957446808511</v>
      </c>
      <c r="L8" s="21">
        <v>15.666666666666666</v>
      </c>
      <c r="M8" s="13">
        <f>AVERAGE(M5:M7)</f>
        <v>1915.7673982202293</v>
      </c>
      <c r="N8" s="12">
        <f t="shared" si="3"/>
        <v>122.28302541831252</v>
      </c>
      <c r="O8" s="14">
        <f t="shared" si="4"/>
        <v>0</v>
      </c>
      <c r="P8" s="15">
        <f t="shared" si="5"/>
        <v>-5.3765490497725921</v>
      </c>
      <c r="Q8" s="241">
        <f t="shared" si="6"/>
        <v>0.95788369911011473</v>
      </c>
      <c r="R8" s="616"/>
      <c r="S8" s="32"/>
      <c r="T8" s="32"/>
      <c r="U8" s="242"/>
      <c r="V8" s="251"/>
      <c r="W8" s="12"/>
      <c r="X8" s="12"/>
      <c r="Y8" s="22">
        <f>SUM(Y5:Y7)</f>
        <v>0</v>
      </c>
      <c r="Z8" s="22">
        <f>SUM(Z5:Z7)</f>
        <v>0</v>
      </c>
      <c r="AA8" s="611"/>
      <c r="AB8" s="611"/>
      <c r="AC8" s="22">
        <v>3</v>
      </c>
      <c r="AD8" s="22">
        <f>SUM(AD5:AD7)</f>
        <v>0</v>
      </c>
      <c r="AE8" s="14">
        <f t="shared" si="8"/>
        <v>-84.232601779770675</v>
      </c>
      <c r="AF8" s="241">
        <f t="shared" si="9"/>
        <v>0.95788369911011462</v>
      </c>
      <c r="AG8" s="616"/>
    </row>
    <row r="9" spans="1:33" ht="15.75" customHeight="1">
      <c r="A9" s="640" t="s">
        <v>1223</v>
      </c>
      <c r="B9" s="27" t="s">
        <v>8</v>
      </c>
      <c r="C9" s="638" t="s">
        <v>10</v>
      </c>
      <c r="D9" s="639"/>
      <c r="E9" s="27">
        <v>39.799999999999997</v>
      </c>
      <c r="F9" s="253">
        <v>4400</v>
      </c>
      <c r="G9" s="242">
        <f t="shared" ref="G9:G14" si="11">E9*F9</f>
        <v>175120</v>
      </c>
      <c r="H9" s="31">
        <v>2</v>
      </c>
      <c r="I9" s="250">
        <v>17</v>
      </c>
      <c r="J9" s="29">
        <v>1500</v>
      </c>
      <c r="K9" s="12">
        <f t="shared" si="1"/>
        <v>88.235294117647058</v>
      </c>
      <c r="L9" s="250">
        <v>17</v>
      </c>
      <c r="M9" s="13">
        <f t="shared" ref="M9:M14" si="12">F9/V9*60</f>
        <v>1434.7826086956518</v>
      </c>
      <c r="N9" s="12">
        <f t="shared" si="3"/>
        <v>84.398976982097167</v>
      </c>
      <c r="O9" s="14">
        <f t="shared" si="4"/>
        <v>0</v>
      </c>
      <c r="P9" s="15">
        <f t="shared" si="5"/>
        <v>-3.8363171355498906</v>
      </c>
      <c r="Q9" s="241">
        <f t="shared" si="6"/>
        <v>0.95652173913043459</v>
      </c>
      <c r="R9" s="616">
        <f>Q15</f>
        <v>0.95453940924505887</v>
      </c>
      <c r="S9" s="32">
        <v>8.3333333333333329E-2</v>
      </c>
      <c r="T9" s="32">
        <v>0.21111111111111114</v>
      </c>
      <c r="U9" s="242"/>
      <c r="V9" s="251">
        <f t="shared" ref="V9:V14" si="13">(T9-S9)*24*60</f>
        <v>184.00000000000006</v>
      </c>
      <c r="W9" s="16">
        <f>T9</f>
        <v>0.21111111111111114</v>
      </c>
      <c r="X9" s="16">
        <f>S10</f>
        <v>0.22986111111111115</v>
      </c>
      <c r="Y9" s="16"/>
      <c r="Z9" s="16"/>
      <c r="AA9" s="612"/>
      <c r="AB9" s="612"/>
      <c r="AC9" s="136">
        <v>6</v>
      </c>
      <c r="AD9" s="18"/>
      <c r="AE9" s="14">
        <f t="shared" si="8"/>
        <v>-65.217391304348212</v>
      </c>
      <c r="AF9" s="241">
        <f t="shared" si="9"/>
        <v>0.95652173913043448</v>
      </c>
      <c r="AG9" s="616">
        <f>AF15</f>
        <v>0.95453940924505898</v>
      </c>
    </row>
    <row r="10" spans="1:33" ht="15.75" customHeight="1">
      <c r="A10" s="640" t="s">
        <v>1223</v>
      </c>
      <c r="B10" s="27" t="s">
        <v>8</v>
      </c>
      <c r="C10" s="638" t="s">
        <v>63</v>
      </c>
      <c r="D10" s="639"/>
      <c r="E10" s="27">
        <v>39.46</v>
      </c>
      <c r="F10" s="253">
        <v>2400</v>
      </c>
      <c r="G10" s="242">
        <f t="shared" si="11"/>
        <v>94704</v>
      </c>
      <c r="H10" s="31">
        <v>2</v>
      </c>
      <c r="I10" s="250">
        <v>15</v>
      </c>
      <c r="J10" s="29">
        <v>1500</v>
      </c>
      <c r="K10" s="12">
        <f t="shared" si="1"/>
        <v>100</v>
      </c>
      <c r="L10" s="250">
        <v>15</v>
      </c>
      <c r="M10" s="13">
        <f t="shared" si="12"/>
        <v>1425.7425742574258</v>
      </c>
      <c r="N10" s="12">
        <f t="shared" si="3"/>
        <v>95.049504950495049</v>
      </c>
      <c r="O10" s="14">
        <f t="shared" si="4"/>
        <v>0</v>
      </c>
      <c r="P10" s="15">
        <f t="shared" si="5"/>
        <v>-4.9504950495049513</v>
      </c>
      <c r="Q10" s="241">
        <f t="shared" si="6"/>
        <v>0.95049504950495045</v>
      </c>
      <c r="R10" s="616"/>
      <c r="S10" s="32">
        <v>0.22986111111111115</v>
      </c>
      <c r="T10" s="32">
        <v>0.30000000000000004</v>
      </c>
      <c r="U10" s="242">
        <f t="shared" ref="U10:U14" si="14">IF(S10=TIME(17,0,0),"",(S10-T9)*24*60)</f>
        <v>27.000000000000025</v>
      </c>
      <c r="V10" s="251">
        <f t="shared" si="13"/>
        <v>101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-74.257425742574242</v>
      </c>
      <c r="AF10" s="241">
        <f t="shared" si="9"/>
        <v>0.95049504950495045</v>
      </c>
      <c r="AG10" s="616"/>
    </row>
    <row r="11" spans="1:33" ht="15.75" customHeight="1">
      <c r="A11" s="640" t="s">
        <v>1223</v>
      </c>
      <c r="B11" s="27" t="s">
        <v>8</v>
      </c>
      <c r="C11" s="638" t="s">
        <v>74</v>
      </c>
      <c r="D11" s="639"/>
      <c r="E11" s="27">
        <v>39.520000000000003</v>
      </c>
      <c r="F11" s="253">
        <v>3109</v>
      </c>
      <c r="G11" s="242">
        <f t="shared" si="11"/>
        <v>122867.68000000001</v>
      </c>
      <c r="H11" s="31" t="s">
        <v>40</v>
      </c>
      <c r="I11" s="250">
        <v>19</v>
      </c>
      <c r="J11" s="29">
        <v>1500</v>
      </c>
      <c r="K11" s="12">
        <f t="shared" si="1"/>
        <v>78.94736842105263</v>
      </c>
      <c r="L11" s="250">
        <v>19</v>
      </c>
      <c r="M11" s="13">
        <f t="shared" si="12"/>
        <v>1434.9230769230767</v>
      </c>
      <c r="N11" s="12">
        <f t="shared" si="3"/>
        <v>75.522267206477721</v>
      </c>
      <c r="O11" s="14">
        <f t="shared" si="4"/>
        <v>0</v>
      </c>
      <c r="P11" s="15">
        <f t="shared" si="5"/>
        <v>-3.4251012145749087</v>
      </c>
      <c r="Q11" s="241">
        <f t="shared" si="6"/>
        <v>0.95661538461538453</v>
      </c>
      <c r="R11" s="616"/>
      <c r="S11" s="32">
        <v>0.3041666666666667</v>
      </c>
      <c r="T11" s="32">
        <v>0.39444444444444449</v>
      </c>
      <c r="U11" s="242">
        <f t="shared" si="14"/>
        <v>5.9999999999999787</v>
      </c>
      <c r="V11" s="251">
        <f t="shared" si="13"/>
        <v>130.00000000000003</v>
      </c>
      <c r="W11" s="16"/>
      <c r="X11" s="16"/>
      <c r="Y11" s="16"/>
      <c r="Z11" s="16"/>
      <c r="AA11" s="612"/>
      <c r="AB11" s="612"/>
      <c r="AC11" s="136"/>
      <c r="AD11" s="18"/>
      <c r="AE11" s="14">
        <f t="shared" si="8"/>
        <v>-65.076923076923322</v>
      </c>
      <c r="AF11" s="241">
        <f t="shared" si="9"/>
        <v>0.95661538461538442</v>
      </c>
      <c r="AG11" s="616"/>
    </row>
    <row r="12" spans="1:33" ht="15.75" customHeight="1">
      <c r="A12" s="640" t="s">
        <v>1223</v>
      </c>
      <c r="B12" s="27" t="s">
        <v>8</v>
      </c>
      <c r="C12" s="638" t="s">
        <v>9</v>
      </c>
      <c r="D12" s="639"/>
      <c r="E12" s="27">
        <v>39.619999999999997</v>
      </c>
      <c r="F12" s="253">
        <v>3800</v>
      </c>
      <c r="G12" s="242">
        <f t="shared" si="11"/>
        <v>150556</v>
      </c>
      <c r="H12" s="31">
        <v>2</v>
      </c>
      <c r="I12" s="250">
        <v>19</v>
      </c>
      <c r="J12" s="29">
        <v>1500</v>
      </c>
      <c r="K12" s="12">
        <f t="shared" si="1"/>
        <v>78.94736842105263</v>
      </c>
      <c r="L12" s="250">
        <v>19</v>
      </c>
      <c r="M12" s="13">
        <f t="shared" si="12"/>
        <v>1433.9622641509425</v>
      </c>
      <c r="N12" s="12">
        <f t="shared" si="3"/>
        <v>75.471698113207495</v>
      </c>
      <c r="O12" s="14">
        <f t="shared" si="4"/>
        <v>0</v>
      </c>
      <c r="P12" s="15">
        <f t="shared" si="5"/>
        <v>-3.4756703078451352</v>
      </c>
      <c r="Q12" s="241">
        <f t="shared" si="6"/>
        <v>0.95597484276729494</v>
      </c>
      <c r="R12" s="616"/>
      <c r="S12" s="32">
        <v>0.4</v>
      </c>
      <c r="T12" s="32">
        <v>0.51041666666666674</v>
      </c>
      <c r="U12" s="242">
        <f t="shared" si="14"/>
        <v>7.9999999999999716</v>
      </c>
      <c r="V12" s="251">
        <f t="shared" si="13"/>
        <v>159.00000000000009</v>
      </c>
      <c r="W12" s="16">
        <f>T12</f>
        <v>0.51041666666666674</v>
      </c>
      <c r="X12" s="16">
        <f>S13</f>
        <v>0.55138888888888893</v>
      </c>
      <c r="Y12" s="16"/>
      <c r="Z12" s="16"/>
      <c r="AA12" s="607"/>
      <c r="AB12" s="608"/>
      <c r="AC12" s="136"/>
      <c r="AD12" s="18"/>
      <c r="AE12" s="14">
        <f t="shared" si="8"/>
        <v>-66.037735849057526</v>
      </c>
      <c r="AF12" s="241">
        <f t="shared" si="9"/>
        <v>0.95597484276729494</v>
      </c>
      <c r="AG12" s="616"/>
    </row>
    <row r="13" spans="1:33" ht="15.75" customHeight="1">
      <c r="A13" s="640" t="s">
        <v>1223</v>
      </c>
      <c r="B13" s="27" t="s">
        <v>8</v>
      </c>
      <c r="C13" s="638" t="s">
        <v>9</v>
      </c>
      <c r="D13" s="639"/>
      <c r="E13" s="27">
        <v>39.619999999999997</v>
      </c>
      <c r="F13" s="253">
        <v>2935</v>
      </c>
      <c r="G13" s="242">
        <f t="shared" si="11"/>
        <v>116284.7</v>
      </c>
      <c r="H13" s="31" t="s">
        <v>40</v>
      </c>
      <c r="I13" s="250">
        <v>19</v>
      </c>
      <c r="J13" s="29">
        <v>1500</v>
      </c>
      <c r="K13" s="12">
        <f t="shared" si="1"/>
        <v>78.94736842105263</v>
      </c>
      <c r="L13" s="250">
        <v>19</v>
      </c>
      <c r="M13" s="13">
        <f t="shared" si="12"/>
        <v>1431.7073170731701</v>
      </c>
      <c r="N13" s="12">
        <f t="shared" si="3"/>
        <v>75.353016688061587</v>
      </c>
      <c r="O13" s="14">
        <f t="shared" si="4"/>
        <v>0</v>
      </c>
      <c r="P13" s="15">
        <f t="shared" si="5"/>
        <v>-3.5943517329910435</v>
      </c>
      <c r="Q13" s="241">
        <f t="shared" si="6"/>
        <v>0.95447154471544682</v>
      </c>
      <c r="R13" s="616"/>
      <c r="S13" s="32">
        <v>0.55138888888888893</v>
      </c>
      <c r="T13" s="32">
        <v>0.63680555555555562</v>
      </c>
      <c r="U13" s="242">
        <f t="shared" si="14"/>
        <v>58.99999999999995</v>
      </c>
      <c r="V13" s="251">
        <f t="shared" si="13"/>
        <v>123.00000000000004</v>
      </c>
      <c r="W13" s="16"/>
      <c r="X13" s="16"/>
      <c r="Y13" s="19"/>
      <c r="Z13" s="19"/>
      <c r="AA13" s="607"/>
      <c r="AB13" s="608"/>
      <c r="AC13" s="136"/>
      <c r="AD13" s="18"/>
      <c r="AE13" s="14">
        <f t="shared" si="8"/>
        <v>-68.292682926829912</v>
      </c>
      <c r="AF13" s="241">
        <f t="shared" si="9"/>
        <v>0.95447154471544671</v>
      </c>
      <c r="AG13" s="616"/>
    </row>
    <row r="14" spans="1:33" ht="15.75" customHeight="1">
      <c r="A14" s="640" t="s">
        <v>1223</v>
      </c>
      <c r="B14" s="27" t="s">
        <v>8</v>
      </c>
      <c r="C14" s="638" t="s">
        <v>10</v>
      </c>
      <c r="D14" s="639"/>
      <c r="E14" s="27">
        <v>39.799999999999997</v>
      </c>
      <c r="F14" s="253">
        <v>3622</v>
      </c>
      <c r="G14" s="242">
        <f t="shared" si="11"/>
        <v>144155.59999999998</v>
      </c>
      <c r="H14" s="31" t="s">
        <v>40</v>
      </c>
      <c r="I14" s="250">
        <v>17</v>
      </c>
      <c r="J14" s="29">
        <v>1500</v>
      </c>
      <c r="K14" s="12">
        <f t="shared" si="1"/>
        <v>88.235294117647058</v>
      </c>
      <c r="L14" s="250">
        <v>17</v>
      </c>
      <c r="M14" s="13">
        <f t="shared" si="12"/>
        <v>1429.7368421052638</v>
      </c>
      <c r="N14" s="12">
        <f t="shared" si="3"/>
        <v>84.102167182662583</v>
      </c>
      <c r="O14" s="14">
        <f t="shared" si="4"/>
        <v>0</v>
      </c>
      <c r="P14" s="15">
        <f t="shared" si="5"/>
        <v>-4.1331269349844746</v>
      </c>
      <c r="Q14" s="241">
        <f t="shared" si="6"/>
        <v>0.95315789473684265</v>
      </c>
      <c r="R14" s="616"/>
      <c r="S14" s="32">
        <v>0.64166666666666672</v>
      </c>
      <c r="T14" s="32">
        <v>0.74722222222222223</v>
      </c>
      <c r="U14" s="242">
        <f t="shared" si="14"/>
        <v>6.9999999999999751</v>
      </c>
      <c r="V14" s="251">
        <f t="shared" si="13"/>
        <v>151.99999999999994</v>
      </c>
      <c r="W14" s="16"/>
      <c r="X14" s="16"/>
      <c r="Y14" s="19"/>
      <c r="Z14" s="19"/>
      <c r="AA14" s="607"/>
      <c r="AB14" s="608"/>
      <c r="AC14" s="136"/>
      <c r="AD14" s="18"/>
      <c r="AE14" s="14">
        <f t="shared" si="8"/>
        <v>-70.263157894736196</v>
      </c>
      <c r="AF14" s="241">
        <f t="shared" si="9"/>
        <v>0.95315789473684254</v>
      </c>
      <c r="AG14" s="616"/>
    </row>
    <row r="15" spans="1:33" ht="16.5" customHeight="1">
      <c r="A15" s="640" t="s">
        <v>1223</v>
      </c>
      <c r="B15" s="27" t="s">
        <v>1222</v>
      </c>
      <c r="C15" s="658"/>
      <c r="D15" s="658"/>
      <c r="E15" s="243"/>
      <c r="F15" s="29"/>
      <c r="G15" s="13"/>
      <c r="H15" s="253"/>
      <c r="I15" s="21">
        <v>17.666666666666668</v>
      </c>
      <c r="J15" s="29">
        <v>1500</v>
      </c>
      <c r="K15" s="12">
        <f t="shared" si="1"/>
        <v>84.905660377358487</v>
      </c>
      <c r="L15" s="21">
        <v>17.666666666666668</v>
      </c>
      <c r="M15" s="13">
        <f>AVERAGE(M9:M14)</f>
        <v>1431.8091138675884</v>
      </c>
      <c r="N15" s="12">
        <f t="shared" si="3"/>
        <v>81.045798898165373</v>
      </c>
      <c r="O15" s="14">
        <f t="shared" si="4"/>
        <v>0</v>
      </c>
      <c r="P15" s="15">
        <f t="shared" si="5"/>
        <v>-3.8598614791931141</v>
      </c>
      <c r="Q15" s="241">
        <f t="shared" si="6"/>
        <v>0.95453940924505887</v>
      </c>
      <c r="R15" s="616"/>
      <c r="S15" s="32"/>
      <c r="T15" s="32"/>
      <c r="U15" s="12"/>
      <c r="V15" s="251"/>
      <c r="W15" s="12"/>
      <c r="X15" s="12"/>
      <c r="Y15" s="22">
        <f>SUM(Y9:Y14)</f>
        <v>0</v>
      </c>
      <c r="Z15" s="22">
        <f>SUM(Z9:Z14)</f>
        <v>0</v>
      </c>
      <c r="AA15" s="611"/>
      <c r="AB15" s="611"/>
      <c r="AC15" s="22">
        <v>6</v>
      </c>
      <c r="AD15" s="22">
        <f>SUM(AD9:AD14)</f>
        <v>0</v>
      </c>
      <c r="AE15" s="14">
        <f t="shared" si="8"/>
        <v>-68.190886132411606</v>
      </c>
      <c r="AF15" s="241">
        <f t="shared" si="9"/>
        <v>0.95453940924505898</v>
      </c>
      <c r="AG15" s="616"/>
    </row>
    <row r="16" spans="1:33" ht="16.5" customHeight="1">
      <c r="A16" s="636" t="s">
        <v>1224</v>
      </c>
      <c r="B16" s="253" t="s">
        <v>1225</v>
      </c>
      <c r="C16" s="659" t="s">
        <v>1035</v>
      </c>
      <c r="D16" s="659"/>
      <c r="E16" s="27">
        <v>31.11</v>
      </c>
      <c r="F16" s="253">
        <v>3500</v>
      </c>
      <c r="G16" s="242">
        <f t="shared" ref="G16:G24" si="15">E16*F16</f>
        <v>108885</v>
      </c>
      <c r="H16" s="31">
        <v>2</v>
      </c>
      <c r="I16" s="250">
        <v>14</v>
      </c>
      <c r="J16" s="29">
        <v>2000</v>
      </c>
      <c r="K16" s="12">
        <f t="shared" si="1"/>
        <v>142.85714285714286</v>
      </c>
      <c r="L16" s="250">
        <v>14</v>
      </c>
      <c r="M16" s="13">
        <f t="shared" ref="M16:M24" si="16">F16/V16*60</f>
        <v>1909.0909090909095</v>
      </c>
      <c r="N16" s="12">
        <f t="shared" si="3"/>
        <v>136.3636363636364</v>
      </c>
      <c r="O16" s="14">
        <f t="shared" si="4"/>
        <v>0</v>
      </c>
      <c r="P16" s="15">
        <f t="shared" si="5"/>
        <v>-6.4935064935064588</v>
      </c>
      <c r="Q16" s="241">
        <f t="shared" si="6"/>
        <v>0.95454545454545481</v>
      </c>
      <c r="R16" s="616">
        <f>Q25</f>
        <v>0.95597666070114207</v>
      </c>
      <c r="S16" s="32">
        <v>8.3333333333333329E-2</v>
      </c>
      <c r="T16" s="32">
        <v>0.15972222222222221</v>
      </c>
      <c r="U16" s="242"/>
      <c r="V16" s="251">
        <f t="shared" ref="V16:V24" si="17">(T16-S16)*24*60</f>
        <v>109.99999999999999</v>
      </c>
      <c r="W16" s="16">
        <f>T16</f>
        <v>0.15972222222222221</v>
      </c>
      <c r="X16" s="16">
        <f>S17</f>
        <v>0.1784722222222222</v>
      </c>
      <c r="Y16" s="20"/>
      <c r="Z16" s="20"/>
      <c r="AA16" s="612"/>
      <c r="AB16" s="612"/>
      <c r="AC16" s="136">
        <v>9</v>
      </c>
      <c r="AD16" s="18"/>
      <c r="AE16" s="14">
        <f t="shared" si="8"/>
        <v>-90.909090909090537</v>
      </c>
      <c r="AF16" s="241">
        <f t="shared" si="9"/>
        <v>0.9545454545454547</v>
      </c>
      <c r="AG16" s="616">
        <f>AF25</f>
        <v>0.95597666070114207</v>
      </c>
    </row>
    <row r="17" spans="1:33" ht="16.5" customHeight="1">
      <c r="A17" s="637" t="s">
        <v>1224</v>
      </c>
      <c r="B17" s="253" t="s">
        <v>1225</v>
      </c>
      <c r="C17" s="659" t="s">
        <v>1036</v>
      </c>
      <c r="D17" s="659"/>
      <c r="E17" s="27">
        <v>38.99</v>
      </c>
      <c r="F17" s="253">
        <v>1591</v>
      </c>
      <c r="G17" s="242">
        <f t="shared" si="15"/>
        <v>62033.090000000004</v>
      </c>
      <c r="H17" s="31" t="s">
        <v>40</v>
      </c>
      <c r="I17" s="250">
        <v>14</v>
      </c>
      <c r="J17" s="29">
        <v>2000</v>
      </c>
      <c r="K17" s="12">
        <f t="shared" si="1"/>
        <v>142.85714285714286</v>
      </c>
      <c r="L17" s="250">
        <v>14</v>
      </c>
      <c r="M17" s="13">
        <f t="shared" si="16"/>
        <v>1909.2000000000005</v>
      </c>
      <c r="N17" s="12">
        <f t="shared" si="3"/>
        <v>136.37142857142859</v>
      </c>
      <c r="O17" s="14">
        <f t="shared" si="4"/>
        <v>0</v>
      </c>
      <c r="P17" s="15">
        <f t="shared" si="5"/>
        <v>-6.4857142857142662</v>
      </c>
      <c r="Q17" s="241">
        <f t="shared" si="6"/>
        <v>0.95460000000000012</v>
      </c>
      <c r="R17" s="616"/>
      <c r="S17" s="32">
        <v>0.1784722222222222</v>
      </c>
      <c r="T17" s="32">
        <v>0.21319444444444441</v>
      </c>
      <c r="U17" s="242">
        <f t="shared" ref="U17:U24" si="18">IF(S17=TIME(17,0,0),"",(S17-T16)*24*60)</f>
        <v>26.999999999999986</v>
      </c>
      <c r="V17" s="251">
        <f t="shared" si="17"/>
        <v>49.999999999999986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-90.7999999999995</v>
      </c>
      <c r="AF17" s="241">
        <f t="shared" si="9"/>
        <v>0.95460000000000023</v>
      </c>
      <c r="AG17" s="616"/>
    </row>
    <row r="18" spans="1:33" ht="16.5" customHeight="1">
      <c r="A18" s="637" t="s">
        <v>1224</v>
      </c>
      <c r="B18" s="253" t="s">
        <v>11</v>
      </c>
      <c r="C18" s="659" t="s">
        <v>67</v>
      </c>
      <c r="D18" s="659"/>
      <c r="E18" s="27">
        <v>38.619999999999997</v>
      </c>
      <c r="F18" s="253">
        <v>2785</v>
      </c>
      <c r="G18" s="242">
        <f t="shared" si="15"/>
        <v>107556.7</v>
      </c>
      <c r="H18" s="31" t="s">
        <v>40</v>
      </c>
      <c r="I18" s="250">
        <v>24</v>
      </c>
      <c r="J18" s="29">
        <v>1500</v>
      </c>
      <c r="K18" s="12">
        <f t="shared" si="1"/>
        <v>62.5</v>
      </c>
      <c r="L18" s="250">
        <v>24</v>
      </c>
      <c r="M18" s="13">
        <f t="shared" si="16"/>
        <v>1440.5172413793105</v>
      </c>
      <c r="N18" s="12">
        <f t="shared" si="3"/>
        <v>60.021551724137936</v>
      </c>
      <c r="O18" s="14">
        <f t="shared" si="4"/>
        <v>0</v>
      </c>
      <c r="P18" s="15">
        <f t="shared" si="5"/>
        <v>-2.4784482758620641</v>
      </c>
      <c r="Q18" s="241">
        <f t="shared" si="6"/>
        <v>0.96034482758620698</v>
      </c>
      <c r="R18" s="616"/>
      <c r="S18" s="32">
        <v>0.21666666666666662</v>
      </c>
      <c r="T18" s="32">
        <v>0.29722222222222217</v>
      </c>
      <c r="U18" s="242">
        <f t="shared" si="18"/>
        <v>4.9999999999999822</v>
      </c>
      <c r="V18" s="251">
        <f t="shared" si="17"/>
        <v>115.99999999999999</v>
      </c>
      <c r="W18" s="16"/>
      <c r="X18" s="16"/>
      <c r="Y18" s="16"/>
      <c r="Z18" s="16"/>
      <c r="AA18" s="612"/>
      <c r="AB18" s="612"/>
      <c r="AC18" s="136"/>
      <c r="AD18" s="18"/>
      <c r="AE18" s="14">
        <f t="shared" si="8"/>
        <v>-59.482758620689538</v>
      </c>
      <c r="AF18" s="241">
        <f t="shared" si="9"/>
        <v>0.96034482758620698</v>
      </c>
      <c r="AG18" s="616"/>
    </row>
    <row r="19" spans="1:33" ht="16.5" customHeight="1">
      <c r="A19" s="637" t="s">
        <v>1224</v>
      </c>
      <c r="B19" s="253" t="s">
        <v>11</v>
      </c>
      <c r="C19" s="659" t="s">
        <v>12</v>
      </c>
      <c r="D19" s="659"/>
      <c r="E19" s="27">
        <v>41</v>
      </c>
      <c r="F19" s="253">
        <v>2363</v>
      </c>
      <c r="G19" s="242">
        <f t="shared" si="15"/>
        <v>96883</v>
      </c>
      <c r="H19" s="31" t="s">
        <v>40</v>
      </c>
      <c r="I19" s="250">
        <v>26</v>
      </c>
      <c r="J19" s="29">
        <v>1500</v>
      </c>
      <c r="K19" s="12">
        <f t="shared" si="1"/>
        <v>57.692307692307693</v>
      </c>
      <c r="L19" s="250">
        <v>26</v>
      </c>
      <c r="M19" s="13">
        <f t="shared" si="16"/>
        <v>1432.1212121212125</v>
      </c>
      <c r="N19" s="12">
        <f t="shared" si="3"/>
        <v>55.081585081585096</v>
      </c>
      <c r="O19" s="14">
        <f t="shared" si="4"/>
        <v>0</v>
      </c>
      <c r="P19" s="15">
        <f t="shared" si="5"/>
        <v>-2.6107226107225969</v>
      </c>
      <c r="Q19" s="241">
        <f t="shared" si="6"/>
        <v>0.95474747474747501</v>
      </c>
      <c r="R19" s="616"/>
      <c r="S19" s="32">
        <v>0.30069444444444438</v>
      </c>
      <c r="T19" s="32">
        <v>0.36944444444444435</v>
      </c>
      <c r="U19" s="242">
        <f t="shared" si="18"/>
        <v>4.9999999999999822</v>
      </c>
      <c r="V19" s="251">
        <f t="shared" si="17"/>
        <v>98.999999999999972</v>
      </c>
      <c r="W19" s="16"/>
      <c r="X19" s="16"/>
      <c r="Y19" s="16"/>
      <c r="Z19" s="16"/>
      <c r="AA19" s="612"/>
      <c r="AB19" s="612"/>
      <c r="AC19" s="136"/>
      <c r="AD19" s="18"/>
      <c r="AE19" s="14">
        <f t="shared" si="8"/>
        <v>-67.878787878787534</v>
      </c>
      <c r="AF19" s="241">
        <f t="shared" si="9"/>
        <v>0.95474747474747501</v>
      </c>
      <c r="AG19" s="616"/>
    </row>
    <row r="20" spans="1:33" ht="16.5" customHeight="1">
      <c r="A20" s="637" t="s">
        <v>1224</v>
      </c>
      <c r="B20" s="253" t="s">
        <v>5</v>
      </c>
      <c r="C20" s="659" t="s">
        <v>66</v>
      </c>
      <c r="D20" s="659"/>
      <c r="E20" s="27">
        <v>37.03</v>
      </c>
      <c r="F20" s="253">
        <v>4277</v>
      </c>
      <c r="G20" s="242">
        <f t="shared" si="15"/>
        <v>158377.31</v>
      </c>
      <c r="H20" s="31" t="s">
        <v>40</v>
      </c>
      <c r="I20" s="250">
        <v>13</v>
      </c>
      <c r="J20" s="29">
        <v>1500</v>
      </c>
      <c r="K20" s="12">
        <f t="shared" si="1"/>
        <v>115.38461538461539</v>
      </c>
      <c r="L20" s="250">
        <v>13</v>
      </c>
      <c r="M20" s="13">
        <f t="shared" si="16"/>
        <v>1433.6312849162011</v>
      </c>
      <c r="N20" s="12">
        <f t="shared" si="3"/>
        <v>110.27932960893855</v>
      </c>
      <c r="O20" s="14">
        <f t="shared" si="4"/>
        <v>0</v>
      </c>
      <c r="P20" s="15">
        <f t="shared" si="5"/>
        <v>-5.1052857756768333</v>
      </c>
      <c r="Q20" s="241">
        <f t="shared" si="6"/>
        <v>0.95575418994413408</v>
      </c>
      <c r="R20" s="616"/>
      <c r="S20" s="32">
        <v>0.37291666666666656</v>
      </c>
      <c r="T20" s="32">
        <v>0.49722222222222212</v>
      </c>
      <c r="U20" s="242">
        <f t="shared" si="18"/>
        <v>4.9999999999999822</v>
      </c>
      <c r="V20" s="251">
        <f t="shared" si="17"/>
        <v>179</v>
      </c>
      <c r="W20" s="16">
        <f>T20</f>
        <v>0.49722222222222212</v>
      </c>
      <c r="X20" s="16">
        <f>S21</f>
        <v>0.53611111111111098</v>
      </c>
      <c r="Y20" s="16"/>
      <c r="Z20" s="16"/>
      <c r="AA20" s="612"/>
      <c r="AB20" s="612"/>
      <c r="AC20" s="136"/>
      <c r="AD20" s="18"/>
      <c r="AE20" s="14">
        <f t="shared" si="8"/>
        <v>-66.368715083798861</v>
      </c>
      <c r="AF20" s="241">
        <f t="shared" si="9"/>
        <v>0.95575418994413408</v>
      </c>
      <c r="AG20" s="616"/>
    </row>
    <row r="21" spans="1:33" ht="16.5" customHeight="1">
      <c r="A21" s="637" t="s">
        <v>1224</v>
      </c>
      <c r="B21" s="253" t="s">
        <v>1225</v>
      </c>
      <c r="C21" s="106" t="s">
        <v>1035</v>
      </c>
      <c r="D21" s="107"/>
      <c r="E21" s="27">
        <v>31.11</v>
      </c>
      <c r="F21" s="253">
        <v>1998</v>
      </c>
      <c r="G21" s="242">
        <f t="shared" si="15"/>
        <v>62157.78</v>
      </c>
      <c r="H21" s="31" t="s">
        <v>40</v>
      </c>
      <c r="I21" s="250">
        <v>14</v>
      </c>
      <c r="J21" s="29">
        <v>2000</v>
      </c>
      <c r="K21" s="12">
        <f t="shared" si="1"/>
        <v>142.85714285714286</v>
      </c>
      <c r="L21" s="250">
        <v>14</v>
      </c>
      <c r="M21" s="13">
        <f t="shared" si="16"/>
        <v>1902.8571428571449</v>
      </c>
      <c r="N21" s="12">
        <f t="shared" si="3"/>
        <v>135.91836734693894</v>
      </c>
      <c r="O21" s="14">
        <f t="shared" si="4"/>
        <v>0</v>
      </c>
      <c r="P21" s="15">
        <f t="shared" si="5"/>
        <v>-6.938775510203925</v>
      </c>
      <c r="Q21" s="241">
        <f t="shared" si="6"/>
        <v>0.95142857142857251</v>
      </c>
      <c r="R21" s="616"/>
      <c r="S21" s="32">
        <v>0.53611111111111098</v>
      </c>
      <c r="T21" s="32">
        <v>0.57986111111111094</v>
      </c>
      <c r="U21" s="242">
        <f t="shared" si="18"/>
        <v>55.999999999999957</v>
      </c>
      <c r="V21" s="251">
        <f t="shared" si="17"/>
        <v>62.999999999999936</v>
      </c>
      <c r="W21" s="16"/>
      <c r="X21" s="16"/>
      <c r="Y21" s="19"/>
      <c r="Z21" s="19"/>
      <c r="AA21" s="248"/>
      <c r="AB21" s="249"/>
      <c r="AC21" s="136"/>
      <c r="AD21" s="18"/>
      <c r="AE21" s="14">
        <f t="shared" si="8"/>
        <v>-97.142857142855064</v>
      </c>
      <c r="AF21" s="241">
        <f t="shared" si="9"/>
        <v>0.95142857142857251</v>
      </c>
      <c r="AG21" s="616"/>
    </row>
    <row r="22" spans="1:33" ht="16.5" customHeight="1">
      <c r="A22" s="637" t="s">
        <v>1224</v>
      </c>
      <c r="B22" s="253" t="s">
        <v>8</v>
      </c>
      <c r="C22" s="106" t="s">
        <v>63</v>
      </c>
      <c r="D22" s="107"/>
      <c r="E22" s="27">
        <v>39.46</v>
      </c>
      <c r="F22" s="253">
        <v>1773</v>
      </c>
      <c r="G22" s="242">
        <f t="shared" si="15"/>
        <v>69962.58</v>
      </c>
      <c r="H22" s="31" t="s">
        <v>40</v>
      </c>
      <c r="I22" s="250">
        <v>15</v>
      </c>
      <c r="J22" s="29">
        <v>1500</v>
      </c>
      <c r="K22" s="12">
        <f t="shared" si="1"/>
        <v>100</v>
      </c>
      <c r="L22" s="250">
        <v>15</v>
      </c>
      <c r="M22" s="13">
        <f t="shared" si="16"/>
        <v>1437.5675675675666</v>
      </c>
      <c r="N22" s="12">
        <f t="shared" si="3"/>
        <v>95.837837837837768</v>
      </c>
      <c r="O22" s="14">
        <f t="shared" si="4"/>
        <v>0</v>
      </c>
      <c r="P22" s="15">
        <f t="shared" si="5"/>
        <v>-4.1621621621622324</v>
      </c>
      <c r="Q22" s="241">
        <f t="shared" si="6"/>
        <v>0.95837837837837769</v>
      </c>
      <c r="R22" s="616"/>
      <c r="S22" s="32">
        <v>0.58541666666666647</v>
      </c>
      <c r="T22" s="32">
        <v>0.6368055555555554</v>
      </c>
      <c r="U22" s="242">
        <f t="shared" si="18"/>
        <v>7.9999999999999716</v>
      </c>
      <c r="V22" s="251">
        <f t="shared" si="17"/>
        <v>74.000000000000057</v>
      </c>
      <c r="W22" s="16"/>
      <c r="X22" s="16"/>
      <c r="Y22" s="19"/>
      <c r="Z22" s="19"/>
      <c r="AA22" s="248"/>
      <c r="AB22" s="249"/>
      <c r="AC22" s="136"/>
      <c r="AD22" s="18"/>
      <c r="AE22" s="14">
        <f t="shared" si="8"/>
        <v>-62.432432432433416</v>
      </c>
      <c r="AF22" s="241">
        <f t="shared" si="9"/>
        <v>0.95837837837837769</v>
      </c>
      <c r="AG22" s="616"/>
    </row>
    <row r="23" spans="1:33" ht="16.5" customHeight="1">
      <c r="A23" s="637" t="s">
        <v>1224</v>
      </c>
      <c r="B23" s="253" t="s">
        <v>5</v>
      </c>
      <c r="C23" s="106" t="s">
        <v>6</v>
      </c>
      <c r="D23" s="107"/>
      <c r="E23" s="27">
        <v>50.67</v>
      </c>
      <c r="F23" s="253">
        <v>2167</v>
      </c>
      <c r="G23" s="242">
        <f t="shared" si="15"/>
        <v>109801.89</v>
      </c>
      <c r="H23" s="31" t="s">
        <v>40</v>
      </c>
      <c r="I23" s="250">
        <v>17</v>
      </c>
      <c r="J23" s="29">
        <v>2000</v>
      </c>
      <c r="K23" s="12">
        <f t="shared" si="1"/>
        <v>117.64705882352941</v>
      </c>
      <c r="L23" s="250">
        <v>17</v>
      </c>
      <c r="M23" s="13">
        <f t="shared" si="16"/>
        <v>1912.058823529414</v>
      </c>
      <c r="N23" s="12">
        <f t="shared" si="3"/>
        <v>112.47404844290671</v>
      </c>
      <c r="O23" s="14">
        <f t="shared" si="4"/>
        <v>0</v>
      </c>
      <c r="P23" s="15">
        <f t="shared" si="5"/>
        <v>-5.1730103806226992</v>
      </c>
      <c r="Q23" s="241">
        <f t="shared" si="6"/>
        <v>0.95602941176470702</v>
      </c>
      <c r="R23" s="616"/>
      <c r="S23" s="32">
        <v>0.70833333333333337</v>
      </c>
      <c r="T23" s="32">
        <v>0.75555555555555554</v>
      </c>
      <c r="U23" s="242" t="str">
        <f t="shared" si="18"/>
        <v/>
      </c>
      <c r="V23" s="251">
        <f t="shared" si="17"/>
        <v>67.999999999999915</v>
      </c>
      <c r="W23" s="16"/>
      <c r="X23" s="16"/>
      <c r="Y23" s="19"/>
      <c r="Z23" s="19"/>
      <c r="AA23" s="248"/>
      <c r="AB23" s="249"/>
      <c r="AC23" s="136"/>
      <c r="AD23" s="18"/>
      <c r="AE23" s="14">
        <f t="shared" si="8"/>
        <v>-87.941176470586015</v>
      </c>
      <c r="AF23" s="241">
        <f t="shared" si="9"/>
        <v>0.95602941176470702</v>
      </c>
      <c r="AG23" s="616"/>
    </row>
    <row r="24" spans="1:33" ht="16.5" customHeight="1">
      <c r="A24" s="637" t="s">
        <v>1224</v>
      </c>
      <c r="B24" s="253" t="s">
        <v>5</v>
      </c>
      <c r="C24" s="106" t="s">
        <v>615</v>
      </c>
      <c r="D24" s="107"/>
      <c r="E24" s="27">
        <v>54.5</v>
      </c>
      <c r="F24" s="253">
        <v>2425</v>
      </c>
      <c r="G24" s="242">
        <f t="shared" si="15"/>
        <v>132162.5</v>
      </c>
      <c r="H24" s="31" t="s">
        <v>40</v>
      </c>
      <c r="I24" s="250">
        <v>20</v>
      </c>
      <c r="J24" s="29">
        <v>1500</v>
      </c>
      <c r="K24" s="12">
        <f t="shared" si="1"/>
        <v>75</v>
      </c>
      <c r="L24" s="250">
        <v>20</v>
      </c>
      <c r="M24" s="13">
        <f t="shared" si="16"/>
        <v>1440.5940594059412</v>
      </c>
      <c r="N24" s="12">
        <f t="shared" si="3"/>
        <v>72.029702970297052</v>
      </c>
      <c r="O24" s="14">
        <f t="shared" si="4"/>
        <v>0</v>
      </c>
      <c r="P24" s="15">
        <f t="shared" si="5"/>
        <v>-2.9702970297029481</v>
      </c>
      <c r="Q24" s="241">
        <f t="shared" si="6"/>
        <v>0.96039603960396069</v>
      </c>
      <c r="R24" s="616"/>
      <c r="S24" s="32">
        <v>0.76041666666666663</v>
      </c>
      <c r="T24" s="32">
        <v>0.83055555555555549</v>
      </c>
      <c r="U24" s="242">
        <f t="shared" si="18"/>
        <v>6.9999999999999751</v>
      </c>
      <c r="V24" s="251">
        <f t="shared" si="17"/>
        <v>100.99999999999996</v>
      </c>
      <c r="W24" s="16"/>
      <c r="X24" s="16"/>
      <c r="Y24" s="19"/>
      <c r="Z24" s="19"/>
      <c r="AA24" s="248"/>
      <c r="AB24" s="249"/>
      <c r="AC24" s="136"/>
      <c r="AD24" s="18"/>
      <c r="AE24" s="14">
        <f t="shared" si="8"/>
        <v>-59.405940594058848</v>
      </c>
      <c r="AF24" s="241">
        <f t="shared" si="9"/>
        <v>0.9603960396039608</v>
      </c>
      <c r="AG24" s="616"/>
    </row>
    <row r="25" spans="1:33" ht="16.5" customHeight="1">
      <c r="A25" s="637" t="s">
        <v>1224</v>
      </c>
      <c r="B25" s="27" t="s">
        <v>1222</v>
      </c>
      <c r="C25" s="658"/>
      <c r="D25" s="658"/>
      <c r="E25" s="243"/>
      <c r="F25" s="28"/>
      <c r="G25" s="12"/>
      <c r="H25" s="253"/>
      <c r="I25" s="21">
        <v>17.444444444444443</v>
      </c>
      <c r="J25" s="29">
        <v>1722.2222222222222</v>
      </c>
      <c r="K25" s="12">
        <f t="shared" si="1"/>
        <v>98.726114649681534</v>
      </c>
      <c r="L25" s="21">
        <v>17.444444444444443</v>
      </c>
      <c r="M25" s="13">
        <f>AVERAGE(M16:M24)</f>
        <v>1646.4042489853002</v>
      </c>
      <c r="N25" s="12">
        <f t="shared" si="3"/>
        <v>94.379861406800657</v>
      </c>
      <c r="O25" s="14">
        <f t="shared" si="4"/>
        <v>0</v>
      </c>
      <c r="P25" s="15">
        <f t="shared" si="5"/>
        <v>-4.3462532428808771</v>
      </c>
      <c r="Q25" s="241">
        <f t="shared" si="6"/>
        <v>0.95597666070114207</v>
      </c>
      <c r="R25" s="616"/>
      <c r="S25" s="32"/>
      <c r="T25" s="32"/>
      <c r="U25" s="242"/>
      <c r="V25" s="251"/>
      <c r="W25" s="12"/>
      <c r="X25" s="12"/>
      <c r="Y25" s="22">
        <f>SUM(Y16:Y24)</f>
        <v>0</v>
      </c>
      <c r="Z25" s="22">
        <f>SUM(Z16:Z24)</f>
        <v>0</v>
      </c>
      <c r="AA25" s="611"/>
      <c r="AB25" s="611"/>
      <c r="AC25" s="22">
        <v>9</v>
      </c>
      <c r="AD25" s="22">
        <f>SUM(AD16:AD24)</f>
        <v>0</v>
      </c>
      <c r="AE25" s="14">
        <f t="shared" si="8"/>
        <v>-75.817973236921944</v>
      </c>
      <c r="AF25" s="241">
        <f t="shared" si="9"/>
        <v>0.95597666070114207</v>
      </c>
      <c r="AG25" s="616"/>
    </row>
    <row r="26" spans="1:33" ht="15.75" customHeight="1">
      <c r="A26" s="634" t="s">
        <v>1226</v>
      </c>
      <c r="B26" s="27" t="s">
        <v>5</v>
      </c>
      <c r="C26" s="659" t="s">
        <v>16</v>
      </c>
      <c r="D26" s="659"/>
      <c r="E26" s="27">
        <v>50.67</v>
      </c>
      <c r="F26" s="253">
        <v>2212</v>
      </c>
      <c r="G26" s="242">
        <f t="shared" ref="G26:G32" si="19">E26*F26</f>
        <v>112082.04000000001</v>
      </c>
      <c r="H26" s="31" t="s">
        <v>40</v>
      </c>
      <c r="I26" s="250">
        <v>17</v>
      </c>
      <c r="J26" s="29">
        <v>2000</v>
      </c>
      <c r="K26" s="12">
        <f t="shared" si="1"/>
        <v>117.64705882352941</v>
      </c>
      <c r="L26" s="250">
        <v>17</v>
      </c>
      <c r="M26" s="13">
        <f t="shared" ref="M26:M32" si="20">F26/V26*60</f>
        <v>1923.4782608695664</v>
      </c>
      <c r="N26" s="12">
        <f t="shared" si="3"/>
        <v>113.14578005115096</v>
      </c>
      <c r="O26" s="14">
        <f t="shared" si="4"/>
        <v>0</v>
      </c>
      <c r="P26" s="15">
        <f t="shared" si="5"/>
        <v>-4.5012787723784413</v>
      </c>
      <c r="Q26" s="241">
        <f t="shared" si="6"/>
        <v>0.96173913043478321</v>
      </c>
      <c r="R26" s="616">
        <f>Q33</f>
        <v>0.95871888061058863</v>
      </c>
      <c r="S26" s="32">
        <v>0.20833333333333334</v>
      </c>
      <c r="T26" s="32">
        <v>0.25624999999999998</v>
      </c>
      <c r="U26" s="242"/>
      <c r="V26" s="251">
        <f t="shared" ref="V26:V32" si="21">(T26-S26)*24*60</f>
        <v>68.999999999999957</v>
      </c>
      <c r="W26" s="16"/>
      <c r="X26" s="16"/>
      <c r="Y26" s="20"/>
      <c r="Z26" s="20"/>
      <c r="AA26" s="612"/>
      <c r="AB26" s="612"/>
      <c r="AC26" s="136">
        <v>7</v>
      </c>
      <c r="AD26" s="18"/>
      <c r="AE26" s="14">
        <f t="shared" si="8"/>
        <v>-76.521739130433616</v>
      </c>
      <c r="AF26" s="241">
        <f t="shared" si="9"/>
        <v>0.96173913043478321</v>
      </c>
      <c r="AG26" s="616">
        <f>AF33</f>
        <v>0.95871888061058874</v>
      </c>
    </row>
    <row r="27" spans="1:33" ht="15.75" customHeight="1">
      <c r="A27" s="635" t="s">
        <v>1226</v>
      </c>
      <c r="B27" s="27" t="s">
        <v>5</v>
      </c>
      <c r="C27" s="659" t="s">
        <v>17</v>
      </c>
      <c r="D27" s="659"/>
      <c r="E27" s="27">
        <v>57.73</v>
      </c>
      <c r="F27" s="253">
        <v>3020</v>
      </c>
      <c r="G27" s="242">
        <f t="shared" si="19"/>
        <v>174344.59999999998</v>
      </c>
      <c r="H27" s="31" t="s">
        <v>40</v>
      </c>
      <c r="I27" s="250">
        <v>14</v>
      </c>
      <c r="J27" s="29">
        <v>2000</v>
      </c>
      <c r="K27" s="12">
        <f t="shared" si="1"/>
        <v>142.85714285714286</v>
      </c>
      <c r="L27" s="250">
        <v>14</v>
      </c>
      <c r="M27" s="13">
        <f t="shared" si="20"/>
        <v>1907.3684210526319</v>
      </c>
      <c r="N27" s="12">
        <f t="shared" si="3"/>
        <v>136.24060150375942</v>
      </c>
      <c r="O27" s="14">
        <f t="shared" si="4"/>
        <v>0</v>
      </c>
      <c r="P27" s="15">
        <f t="shared" si="5"/>
        <v>-6.6165413533834396</v>
      </c>
      <c r="Q27" s="241">
        <f t="shared" si="6"/>
        <v>0.95368421052631591</v>
      </c>
      <c r="R27" s="616"/>
      <c r="S27" s="32">
        <v>0.26041666666666663</v>
      </c>
      <c r="T27" s="32">
        <v>0.32638888888888884</v>
      </c>
      <c r="U27" s="242">
        <f t="shared" ref="U27:U32" si="22">IF(S27=TIME(17,0,0),"",(S27-T26)*24*60)</f>
        <v>5.9999999999999787</v>
      </c>
      <c r="V27" s="251">
        <f t="shared" si="21"/>
        <v>94.999999999999986</v>
      </c>
      <c r="W27" s="16"/>
      <c r="X27" s="242"/>
      <c r="Y27" s="242"/>
      <c r="Z27" s="242"/>
      <c r="AA27" s="612"/>
      <c r="AB27" s="612"/>
      <c r="AC27" s="136"/>
      <c r="AD27" s="18"/>
      <c r="AE27" s="14">
        <f t="shared" si="8"/>
        <v>-92.631578947368098</v>
      </c>
      <c r="AF27" s="241">
        <f t="shared" si="9"/>
        <v>0.95368421052631591</v>
      </c>
      <c r="AG27" s="616"/>
    </row>
    <row r="28" spans="1:33" ht="15.75" customHeight="1">
      <c r="A28" s="635" t="s">
        <v>1226</v>
      </c>
      <c r="B28" s="27" t="s">
        <v>5</v>
      </c>
      <c r="C28" s="659" t="s">
        <v>60</v>
      </c>
      <c r="D28" s="659"/>
      <c r="E28" s="27">
        <v>53.27</v>
      </c>
      <c r="F28" s="253">
        <v>1952</v>
      </c>
      <c r="G28" s="242">
        <f t="shared" si="19"/>
        <v>103983.04000000001</v>
      </c>
      <c r="H28" s="31" t="s">
        <v>40</v>
      </c>
      <c r="I28" s="250">
        <v>16</v>
      </c>
      <c r="J28" s="29">
        <v>2000</v>
      </c>
      <c r="K28" s="12">
        <f t="shared" si="1"/>
        <v>125</v>
      </c>
      <c r="L28" s="250">
        <v>16</v>
      </c>
      <c r="M28" s="13">
        <f t="shared" si="20"/>
        <v>1919.9999999999993</v>
      </c>
      <c r="N28" s="12">
        <f t="shared" si="3"/>
        <v>119.99999999999996</v>
      </c>
      <c r="O28" s="14">
        <f t="shared" si="4"/>
        <v>0</v>
      </c>
      <c r="P28" s="15">
        <f t="shared" si="5"/>
        <v>-5.0000000000000426</v>
      </c>
      <c r="Q28" s="241">
        <f t="shared" si="6"/>
        <v>0.95999999999999963</v>
      </c>
      <c r="R28" s="616"/>
      <c r="S28" s="32">
        <v>0.32986111111111105</v>
      </c>
      <c r="T28" s="32">
        <v>0.37222222222222218</v>
      </c>
      <c r="U28" s="242">
        <f t="shared" si="22"/>
        <v>4.9999999999999822</v>
      </c>
      <c r="V28" s="251">
        <f t="shared" si="21"/>
        <v>61.000000000000021</v>
      </c>
      <c r="W28" s="16"/>
      <c r="X28" s="242"/>
      <c r="Y28" s="242"/>
      <c r="Z28" s="242"/>
      <c r="AA28" s="612"/>
      <c r="AB28" s="612"/>
      <c r="AC28" s="136"/>
      <c r="AD28" s="18"/>
      <c r="AE28" s="14">
        <f t="shared" si="8"/>
        <v>-80.000000000000682</v>
      </c>
      <c r="AF28" s="241">
        <f t="shared" si="9"/>
        <v>0.95999999999999963</v>
      </c>
      <c r="AG28" s="616"/>
    </row>
    <row r="29" spans="1:33" ht="15.75" customHeight="1">
      <c r="A29" s="635" t="s">
        <v>1226</v>
      </c>
      <c r="B29" s="27" t="s">
        <v>5</v>
      </c>
      <c r="C29" s="659" t="s">
        <v>18</v>
      </c>
      <c r="D29" s="659"/>
      <c r="E29" s="27">
        <v>50.49</v>
      </c>
      <c r="F29" s="253">
        <v>1000</v>
      </c>
      <c r="G29" s="242">
        <f t="shared" si="19"/>
        <v>50490</v>
      </c>
      <c r="H29" s="31">
        <v>2</v>
      </c>
      <c r="I29" s="250">
        <v>15</v>
      </c>
      <c r="J29" s="29">
        <v>2000</v>
      </c>
      <c r="K29" s="12">
        <f t="shared" si="1"/>
        <v>133.33333333333334</v>
      </c>
      <c r="L29" s="250">
        <v>15</v>
      </c>
      <c r="M29" s="13">
        <f t="shared" si="20"/>
        <v>1935.483870967739</v>
      </c>
      <c r="N29" s="12">
        <f t="shared" si="3"/>
        <v>129.03225806451593</v>
      </c>
      <c r="O29" s="14">
        <f t="shared" si="4"/>
        <v>0</v>
      </c>
      <c r="P29" s="15">
        <f t="shared" si="5"/>
        <v>-4.3010752688174136</v>
      </c>
      <c r="Q29" s="241">
        <f t="shared" si="6"/>
        <v>0.96774193548386944</v>
      </c>
      <c r="R29" s="616"/>
      <c r="S29" s="32">
        <v>0.70833333333333337</v>
      </c>
      <c r="T29" s="32">
        <v>0.72986111111111118</v>
      </c>
      <c r="U29" s="242" t="str">
        <f t="shared" si="22"/>
        <v/>
      </c>
      <c r="V29" s="251">
        <f t="shared" si="21"/>
        <v>31.00000000000005</v>
      </c>
      <c r="W29" s="16"/>
      <c r="X29" s="242"/>
      <c r="Y29" s="242"/>
      <c r="Z29" s="242"/>
      <c r="AA29" s="612"/>
      <c r="AB29" s="612"/>
      <c r="AC29" s="136"/>
      <c r="AD29" s="18"/>
      <c r="AE29" s="14">
        <f t="shared" si="8"/>
        <v>-64.516129032261006</v>
      </c>
      <c r="AF29" s="241">
        <f t="shared" si="9"/>
        <v>0.96774193548386944</v>
      </c>
      <c r="AG29" s="616"/>
    </row>
    <row r="30" spans="1:33" ht="15.75" customHeight="1">
      <c r="A30" s="635" t="s">
        <v>1226</v>
      </c>
      <c r="B30" s="27" t="s">
        <v>5</v>
      </c>
      <c r="C30" s="659" t="s">
        <v>65</v>
      </c>
      <c r="D30" s="659"/>
      <c r="E30" s="27">
        <v>56.43</v>
      </c>
      <c r="F30" s="253">
        <v>2061</v>
      </c>
      <c r="G30" s="242">
        <f t="shared" si="19"/>
        <v>116302.23</v>
      </c>
      <c r="H30" s="31" t="s">
        <v>40</v>
      </c>
      <c r="I30" s="250">
        <v>13</v>
      </c>
      <c r="J30" s="29">
        <v>2000</v>
      </c>
      <c r="K30" s="12">
        <f t="shared" si="1"/>
        <v>153.84615384615384</v>
      </c>
      <c r="L30" s="250">
        <v>13</v>
      </c>
      <c r="M30" s="13">
        <f t="shared" si="20"/>
        <v>1902.4615384615404</v>
      </c>
      <c r="N30" s="12">
        <f t="shared" si="3"/>
        <v>146.34319526627235</v>
      </c>
      <c r="O30" s="14">
        <f t="shared" si="4"/>
        <v>0</v>
      </c>
      <c r="P30" s="15">
        <f t="shared" si="5"/>
        <v>-7.5029585798814935</v>
      </c>
      <c r="Q30" s="241">
        <f t="shared" si="6"/>
        <v>0.95123076923077032</v>
      </c>
      <c r="R30" s="616"/>
      <c r="S30" s="32">
        <v>0.73402777777777783</v>
      </c>
      <c r="T30" s="32">
        <v>0.77916666666666667</v>
      </c>
      <c r="U30" s="242">
        <f t="shared" si="22"/>
        <v>5.9999999999999787</v>
      </c>
      <c r="V30" s="251">
        <f t="shared" si="21"/>
        <v>64.999999999999929</v>
      </c>
      <c r="W30" s="16"/>
      <c r="X30" s="16"/>
      <c r="Y30" s="242"/>
      <c r="Z30" s="242"/>
      <c r="AA30" s="612"/>
      <c r="AB30" s="612"/>
      <c r="AC30" s="136"/>
      <c r="AD30" s="18"/>
      <c r="AE30" s="14">
        <f t="shared" si="8"/>
        <v>-97.538461538459615</v>
      </c>
      <c r="AF30" s="241">
        <f t="shared" si="9"/>
        <v>0.95123076923077021</v>
      </c>
      <c r="AG30" s="616"/>
    </row>
    <row r="31" spans="1:33" ht="15.75" customHeight="1">
      <c r="A31" s="635" t="s">
        <v>1226</v>
      </c>
      <c r="B31" s="27" t="s">
        <v>5</v>
      </c>
      <c r="C31" s="659" t="s">
        <v>7</v>
      </c>
      <c r="D31" s="659"/>
      <c r="E31" s="27">
        <v>50.67</v>
      </c>
      <c r="F31" s="253">
        <v>2248</v>
      </c>
      <c r="G31" s="242">
        <f t="shared" si="19"/>
        <v>113906.16</v>
      </c>
      <c r="H31" s="31" t="s">
        <v>40</v>
      </c>
      <c r="I31" s="250">
        <v>15</v>
      </c>
      <c r="J31" s="29">
        <v>2000</v>
      </c>
      <c r="K31" s="12">
        <f t="shared" si="1"/>
        <v>133.33333333333334</v>
      </c>
      <c r="L31" s="250">
        <v>15</v>
      </c>
      <c r="M31" s="13">
        <f t="shared" si="20"/>
        <v>1926.8571428571406</v>
      </c>
      <c r="N31" s="12">
        <f t="shared" si="3"/>
        <v>128.45714285714271</v>
      </c>
      <c r="O31" s="14">
        <f t="shared" si="4"/>
        <v>0</v>
      </c>
      <c r="P31" s="15">
        <f t="shared" si="5"/>
        <v>-4.8761904761906294</v>
      </c>
      <c r="Q31" s="241">
        <f t="shared" si="6"/>
        <v>0.9634285714285703</v>
      </c>
      <c r="R31" s="616"/>
      <c r="S31" s="32">
        <v>0.78472222222222221</v>
      </c>
      <c r="T31" s="32">
        <v>0.83333333333333337</v>
      </c>
      <c r="U31" s="242">
        <f t="shared" si="22"/>
        <v>7.9999999999999716</v>
      </c>
      <c r="V31" s="251">
        <f t="shared" si="21"/>
        <v>70.000000000000071</v>
      </c>
      <c r="W31" s="16">
        <f>T31</f>
        <v>0.83333333333333337</v>
      </c>
      <c r="X31" s="16">
        <f>S32</f>
        <v>0.87222222222222223</v>
      </c>
      <c r="Y31" s="20"/>
      <c r="Z31" s="20"/>
      <c r="AA31" s="612"/>
      <c r="AB31" s="612"/>
      <c r="AC31" s="136"/>
      <c r="AD31" s="18"/>
      <c r="AE31" s="14">
        <f t="shared" si="8"/>
        <v>-73.142857142859384</v>
      </c>
      <c r="AF31" s="241">
        <f t="shared" si="9"/>
        <v>0.9634285714285703</v>
      </c>
      <c r="AG31" s="616"/>
    </row>
    <row r="32" spans="1:33" ht="15.75" customHeight="1">
      <c r="A32" s="635" t="s">
        <v>1226</v>
      </c>
      <c r="B32" s="27" t="s">
        <v>5</v>
      </c>
      <c r="C32" s="631" t="s">
        <v>18</v>
      </c>
      <c r="D32" s="632"/>
      <c r="E32" s="27">
        <v>50.49</v>
      </c>
      <c r="F32" s="253">
        <v>1684</v>
      </c>
      <c r="G32" s="242">
        <f t="shared" si="19"/>
        <v>85025.16</v>
      </c>
      <c r="H32" s="31" t="s">
        <v>40</v>
      </c>
      <c r="I32" s="250">
        <v>15</v>
      </c>
      <c r="J32" s="29">
        <v>2000</v>
      </c>
      <c r="K32" s="12">
        <f t="shared" si="1"/>
        <v>133.33333333333334</v>
      </c>
      <c r="L32" s="250">
        <v>15</v>
      </c>
      <c r="M32" s="13">
        <f t="shared" si="20"/>
        <v>1906.4150943396237</v>
      </c>
      <c r="N32" s="12">
        <f t="shared" si="3"/>
        <v>127.09433962264158</v>
      </c>
      <c r="O32" s="14">
        <f t="shared" si="4"/>
        <v>0</v>
      </c>
      <c r="P32" s="15">
        <f t="shared" si="5"/>
        <v>-6.2389937106917586</v>
      </c>
      <c r="Q32" s="241">
        <f t="shared" si="6"/>
        <v>0.95320754716981182</v>
      </c>
      <c r="R32" s="616"/>
      <c r="S32" s="32">
        <v>0.87222222222222223</v>
      </c>
      <c r="T32" s="32">
        <v>0.90902777777777777</v>
      </c>
      <c r="U32" s="242">
        <f t="shared" si="22"/>
        <v>55.999999999999957</v>
      </c>
      <c r="V32" s="251">
        <f t="shared" si="21"/>
        <v>52.999999999999972</v>
      </c>
      <c r="W32" s="16"/>
      <c r="X32" s="20"/>
      <c r="Y32" s="270"/>
      <c r="Z32" s="270"/>
      <c r="AA32" s="607"/>
      <c r="AB32" s="608"/>
      <c r="AC32" s="136"/>
      <c r="AD32" s="18"/>
      <c r="AE32" s="14">
        <f t="shared" si="8"/>
        <v>-93.584905660376307</v>
      </c>
      <c r="AF32" s="241">
        <f t="shared" si="9"/>
        <v>0.95320754716981182</v>
      </c>
      <c r="AG32" s="616"/>
    </row>
    <row r="33" spans="1:33" ht="15.75" customHeight="1">
      <c r="A33" s="635" t="s">
        <v>1226</v>
      </c>
      <c r="B33" s="27" t="s">
        <v>1222</v>
      </c>
      <c r="C33" s="658"/>
      <c r="D33" s="658"/>
      <c r="E33" s="243"/>
      <c r="F33" s="253"/>
      <c r="G33" s="242"/>
      <c r="H33" s="253"/>
      <c r="I33" s="21">
        <v>15</v>
      </c>
      <c r="J33" s="29">
        <v>2000</v>
      </c>
      <c r="K33" s="12">
        <f t="shared" si="1"/>
        <v>133.33333333333334</v>
      </c>
      <c r="L33" s="21">
        <v>15</v>
      </c>
      <c r="M33" s="13">
        <f>AVERAGE(M26:M32)</f>
        <v>1917.4377612211774</v>
      </c>
      <c r="N33" s="12">
        <f t="shared" si="3"/>
        <v>127.82918408141182</v>
      </c>
      <c r="O33" s="14">
        <f t="shared" si="4"/>
        <v>0</v>
      </c>
      <c r="P33" s="15">
        <f t="shared" si="5"/>
        <v>-5.5041492519215183</v>
      </c>
      <c r="Q33" s="241">
        <f t="shared" si="6"/>
        <v>0.95871888061058863</v>
      </c>
      <c r="R33" s="616"/>
      <c r="S33" s="32"/>
      <c r="T33" s="32"/>
      <c r="U33" s="12"/>
      <c r="V33" s="251"/>
      <c r="W33" s="12"/>
      <c r="X33" s="12"/>
      <c r="Y33" s="22">
        <f>SUM(Y26:Y32)</f>
        <v>0</v>
      </c>
      <c r="Z33" s="22">
        <f>SUM(Z26:Z32)</f>
        <v>0</v>
      </c>
      <c r="AA33" s="611"/>
      <c r="AB33" s="611"/>
      <c r="AC33" s="22">
        <v>7</v>
      </c>
      <c r="AD33" s="22">
        <f>SUM(AD26:AD32)</f>
        <v>0</v>
      </c>
      <c r="AE33" s="14">
        <f t="shared" si="8"/>
        <v>-82.562238778822575</v>
      </c>
      <c r="AF33" s="241">
        <f t="shared" si="9"/>
        <v>0.95871888061058874</v>
      </c>
      <c r="AG33" s="616"/>
    </row>
    <row r="34" spans="1:33" ht="15.75" customHeight="1">
      <c r="A34" s="633" t="s">
        <v>1227</v>
      </c>
      <c r="B34" s="27" t="s">
        <v>20</v>
      </c>
      <c r="C34" s="659" t="s">
        <v>21</v>
      </c>
      <c r="D34" s="659"/>
      <c r="E34" s="27">
        <v>31.29</v>
      </c>
      <c r="F34" s="253">
        <v>5800</v>
      </c>
      <c r="G34" s="242">
        <f t="shared" ref="G34:G41" si="23">E34*F34</f>
        <v>181482</v>
      </c>
      <c r="H34" s="31">
        <v>2</v>
      </c>
      <c r="I34" s="250">
        <v>18</v>
      </c>
      <c r="J34" s="29">
        <v>2400</v>
      </c>
      <c r="K34" s="12">
        <f t="shared" si="1"/>
        <v>133.33333333333334</v>
      </c>
      <c r="L34" s="250">
        <v>18</v>
      </c>
      <c r="M34" s="13">
        <f t="shared" ref="M34:M41" si="24">F34/V34*60</f>
        <v>2289.4736842105262</v>
      </c>
      <c r="N34" s="12">
        <f t="shared" si="3"/>
        <v>127.19298245614034</v>
      </c>
      <c r="O34" s="14">
        <f t="shared" si="4"/>
        <v>0</v>
      </c>
      <c r="P34" s="15">
        <f t="shared" si="5"/>
        <v>-6.1403508771930007</v>
      </c>
      <c r="Q34" s="241">
        <f t="shared" si="6"/>
        <v>0.95394736842105254</v>
      </c>
      <c r="R34" s="616">
        <f>Q42</f>
        <v>0.95663127116814539</v>
      </c>
      <c r="S34" s="32">
        <v>8.3333333333333329E-2</v>
      </c>
      <c r="T34" s="32">
        <v>0.18888888888888888</v>
      </c>
      <c r="U34" s="242"/>
      <c r="V34" s="251">
        <f t="shared" ref="V34:V41" si="25">(T34-S34)*24*60</f>
        <v>152</v>
      </c>
      <c r="W34" s="16">
        <f>T34</f>
        <v>0.18888888888888888</v>
      </c>
      <c r="X34" s="16">
        <f>S35</f>
        <v>0.20763888888888887</v>
      </c>
      <c r="Y34" s="16"/>
      <c r="Z34" s="16"/>
      <c r="AA34" s="612"/>
      <c r="AB34" s="612"/>
      <c r="AC34" s="136">
        <v>8</v>
      </c>
      <c r="AD34" s="18"/>
      <c r="AE34" s="14">
        <f t="shared" si="8"/>
        <v>-110.52631578947376</v>
      </c>
      <c r="AF34" s="241">
        <f t="shared" si="9"/>
        <v>0.95394736842105265</v>
      </c>
      <c r="AG34" s="616">
        <f>AF42</f>
        <v>0.9566312711681455</v>
      </c>
    </row>
    <row r="35" spans="1:33" ht="15.75" customHeight="1">
      <c r="A35" s="633" t="s">
        <v>1227</v>
      </c>
      <c r="B35" s="27" t="s">
        <v>20</v>
      </c>
      <c r="C35" s="659" t="s">
        <v>22</v>
      </c>
      <c r="D35" s="659"/>
      <c r="E35" s="27">
        <v>26.37</v>
      </c>
      <c r="F35" s="253">
        <v>4000</v>
      </c>
      <c r="G35" s="242">
        <f t="shared" si="23"/>
        <v>105480</v>
      </c>
      <c r="H35" s="31">
        <v>2</v>
      </c>
      <c r="I35" s="250">
        <v>18</v>
      </c>
      <c r="J35" s="29">
        <v>2400</v>
      </c>
      <c r="K35" s="12">
        <f t="shared" si="1"/>
        <v>133.33333333333334</v>
      </c>
      <c r="L35" s="250">
        <v>18</v>
      </c>
      <c r="M35" s="13">
        <f t="shared" si="24"/>
        <v>2285.7142857142853</v>
      </c>
      <c r="N35" s="12">
        <f t="shared" si="3"/>
        <v>126.98412698412696</v>
      </c>
      <c r="O35" s="14">
        <f t="shared" si="4"/>
        <v>0</v>
      </c>
      <c r="P35" s="15">
        <f t="shared" si="5"/>
        <v>-6.3492063492063835</v>
      </c>
      <c r="Q35" s="241">
        <f t="shared" si="6"/>
        <v>0.95238095238095211</v>
      </c>
      <c r="R35" s="616"/>
      <c r="S35" s="32">
        <v>0.20763888888888887</v>
      </c>
      <c r="T35" s="32">
        <v>0.28055555555555556</v>
      </c>
      <c r="U35" s="242">
        <f t="shared" ref="U35:U41" si="26">(S35-T34)*24*60</f>
        <v>26.999999999999986</v>
      </c>
      <c r="V35" s="251">
        <f t="shared" si="25"/>
        <v>105.00000000000003</v>
      </c>
      <c r="W35" s="16"/>
      <c r="X35" s="16"/>
      <c r="Y35" s="16"/>
      <c r="Z35" s="16"/>
      <c r="AA35" s="612"/>
      <c r="AB35" s="612"/>
      <c r="AC35" s="136"/>
      <c r="AD35" s="18"/>
      <c r="AE35" s="14">
        <f t="shared" si="8"/>
        <v>-114.28571428571468</v>
      </c>
      <c r="AF35" s="241">
        <f t="shared" si="9"/>
        <v>0.95238095238095222</v>
      </c>
      <c r="AG35" s="616"/>
    </row>
    <row r="36" spans="1:33" ht="15.75" customHeight="1">
      <c r="A36" s="633" t="s">
        <v>1227</v>
      </c>
      <c r="B36" s="27" t="s">
        <v>20</v>
      </c>
      <c r="C36" s="659" t="s">
        <v>57</v>
      </c>
      <c r="D36" s="659"/>
      <c r="E36" s="27">
        <v>26.18</v>
      </c>
      <c r="F36" s="253">
        <v>4900</v>
      </c>
      <c r="G36" s="242">
        <f t="shared" si="23"/>
        <v>128282</v>
      </c>
      <c r="H36" s="31">
        <v>2</v>
      </c>
      <c r="I36" s="250">
        <v>18</v>
      </c>
      <c r="J36" s="29">
        <v>2400</v>
      </c>
      <c r="K36" s="12">
        <f t="shared" si="1"/>
        <v>133.33333333333334</v>
      </c>
      <c r="L36" s="250">
        <v>18</v>
      </c>
      <c r="M36" s="13">
        <f t="shared" si="24"/>
        <v>2296.8749999999995</v>
      </c>
      <c r="N36" s="12">
        <f t="shared" si="3"/>
        <v>127.60416666666664</v>
      </c>
      <c r="O36" s="14">
        <f t="shared" si="4"/>
        <v>0</v>
      </c>
      <c r="P36" s="15">
        <f t="shared" si="5"/>
        <v>-5.7291666666666998</v>
      </c>
      <c r="Q36" s="241">
        <f t="shared" si="6"/>
        <v>0.95703124999999978</v>
      </c>
      <c r="R36" s="616"/>
      <c r="S36" s="32">
        <v>0.28472222222222221</v>
      </c>
      <c r="T36" s="32">
        <v>0.37361111111111112</v>
      </c>
      <c r="U36" s="242">
        <f t="shared" si="26"/>
        <v>5.9999999999999787</v>
      </c>
      <c r="V36" s="251">
        <f t="shared" si="25"/>
        <v>128.00000000000003</v>
      </c>
      <c r="W36" s="16"/>
      <c r="X36" s="16"/>
      <c r="Y36" s="16"/>
      <c r="Z36" s="16"/>
      <c r="AA36" s="612"/>
      <c r="AB36" s="612"/>
      <c r="AC36" s="136"/>
      <c r="AD36" s="18"/>
      <c r="AE36" s="14">
        <f t="shared" si="8"/>
        <v>-103.12500000000045</v>
      </c>
      <c r="AF36" s="241">
        <f t="shared" si="9"/>
        <v>0.95703124999999978</v>
      </c>
      <c r="AG36" s="616"/>
    </row>
    <row r="37" spans="1:33" ht="15.75" customHeight="1">
      <c r="A37" s="633" t="s">
        <v>1227</v>
      </c>
      <c r="B37" s="27" t="s">
        <v>20</v>
      </c>
      <c r="C37" s="659" t="s">
        <v>59</v>
      </c>
      <c r="D37" s="659"/>
      <c r="E37" s="27">
        <v>25.99</v>
      </c>
      <c r="F37" s="253">
        <v>1659</v>
      </c>
      <c r="G37" s="242">
        <f t="shared" si="23"/>
        <v>43117.409999999996</v>
      </c>
      <c r="H37" s="31" t="s">
        <v>40</v>
      </c>
      <c r="I37" s="250">
        <v>18</v>
      </c>
      <c r="J37" s="29">
        <v>2400</v>
      </c>
      <c r="K37" s="12">
        <f t="shared" si="1"/>
        <v>133.33333333333334</v>
      </c>
      <c r="L37" s="250">
        <v>18</v>
      </c>
      <c r="M37" s="13">
        <f t="shared" si="24"/>
        <v>2314.8837209302324</v>
      </c>
      <c r="N37" s="12">
        <f t="shared" si="3"/>
        <v>128.60465116279067</v>
      </c>
      <c r="O37" s="14">
        <f t="shared" si="4"/>
        <v>0</v>
      </c>
      <c r="P37" s="15">
        <f t="shared" si="5"/>
        <v>-4.7286821705426689</v>
      </c>
      <c r="Q37" s="241">
        <f t="shared" si="6"/>
        <v>0.96453488372092999</v>
      </c>
      <c r="R37" s="616"/>
      <c r="S37" s="32">
        <v>0.37847222222222221</v>
      </c>
      <c r="T37" s="32">
        <v>0.40833333333333333</v>
      </c>
      <c r="U37" s="242">
        <f t="shared" si="26"/>
        <v>6.9999999999999751</v>
      </c>
      <c r="V37" s="251">
        <f t="shared" si="25"/>
        <v>43.000000000000007</v>
      </c>
      <c r="W37" s="16"/>
      <c r="X37" s="16"/>
      <c r="Y37" s="16"/>
      <c r="Z37" s="16"/>
      <c r="AA37" s="612"/>
      <c r="AB37" s="612"/>
      <c r="AC37" s="136"/>
      <c r="AD37" s="18"/>
      <c r="AE37" s="14">
        <f t="shared" si="8"/>
        <v>-85.116279069767643</v>
      </c>
      <c r="AF37" s="241">
        <f t="shared" si="9"/>
        <v>0.9645348837209301</v>
      </c>
      <c r="AG37" s="616"/>
    </row>
    <row r="38" spans="1:33" ht="15.75" customHeight="1">
      <c r="A38" s="633" t="s">
        <v>1227</v>
      </c>
      <c r="B38" s="27" t="s">
        <v>20</v>
      </c>
      <c r="C38" s="659" t="s">
        <v>23</v>
      </c>
      <c r="D38" s="659"/>
      <c r="E38" s="27">
        <v>25.99</v>
      </c>
      <c r="F38" s="253">
        <v>4447</v>
      </c>
      <c r="G38" s="242">
        <f t="shared" si="23"/>
        <v>115577.53</v>
      </c>
      <c r="H38" s="31" t="s">
        <v>40</v>
      </c>
      <c r="I38" s="250">
        <v>14</v>
      </c>
      <c r="J38" s="29">
        <v>2400</v>
      </c>
      <c r="K38" s="12">
        <f t="shared" si="1"/>
        <v>171.42857142857142</v>
      </c>
      <c r="L38" s="250">
        <v>14</v>
      </c>
      <c r="M38" s="13">
        <f t="shared" si="24"/>
        <v>2300.1724137931037</v>
      </c>
      <c r="N38" s="12">
        <f t="shared" si="3"/>
        <v>164.29802955665028</v>
      </c>
      <c r="O38" s="14">
        <f t="shared" si="4"/>
        <v>0</v>
      </c>
      <c r="P38" s="15">
        <f t="shared" si="5"/>
        <v>-7.1305418719211389</v>
      </c>
      <c r="Q38" s="241">
        <f t="shared" si="6"/>
        <v>0.9584051724137933</v>
      </c>
      <c r="R38" s="616"/>
      <c r="S38" s="32">
        <v>0.41319444444444442</v>
      </c>
      <c r="T38" s="32">
        <v>0.49374999999999997</v>
      </c>
      <c r="U38" s="242">
        <f t="shared" si="26"/>
        <v>6.9999999999999751</v>
      </c>
      <c r="V38" s="251">
        <f t="shared" si="25"/>
        <v>115.99999999999999</v>
      </c>
      <c r="W38" s="16">
        <f>T38</f>
        <v>0.49374999999999997</v>
      </c>
      <c r="X38" s="16">
        <f>S39</f>
        <v>0.5347222222222221</v>
      </c>
      <c r="Y38" s="16"/>
      <c r="Z38" s="16"/>
      <c r="AA38" s="612"/>
      <c r="AB38" s="612"/>
      <c r="AC38" s="136"/>
      <c r="AD38" s="18"/>
      <c r="AE38" s="14">
        <f t="shared" si="8"/>
        <v>-99.827586206896285</v>
      </c>
      <c r="AF38" s="241">
        <f t="shared" si="9"/>
        <v>0.95840517241379319</v>
      </c>
      <c r="AG38" s="616"/>
    </row>
    <row r="39" spans="1:33" ht="15.75" customHeight="1">
      <c r="A39" s="633" t="s">
        <v>1227</v>
      </c>
      <c r="B39" s="27" t="s">
        <v>20</v>
      </c>
      <c r="C39" s="659" t="s">
        <v>22</v>
      </c>
      <c r="D39" s="659"/>
      <c r="E39" s="27">
        <v>26.37</v>
      </c>
      <c r="F39" s="253">
        <v>2839</v>
      </c>
      <c r="G39" s="242">
        <f t="shared" si="23"/>
        <v>74864.430000000008</v>
      </c>
      <c r="H39" s="31" t="s">
        <v>40</v>
      </c>
      <c r="I39" s="250">
        <v>18</v>
      </c>
      <c r="J39" s="29">
        <v>2400</v>
      </c>
      <c r="K39" s="12">
        <f t="shared" si="1"/>
        <v>133.33333333333334</v>
      </c>
      <c r="L39" s="250">
        <v>18</v>
      </c>
      <c r="M39" s="13">
        <f t="shared" si="24"/>
        <v>2301.8918918918903</v>
      </c>
      <c r="N39" s="12">
        <f t="shared" si="3"/>
        <v>127.8828828828828</v>
      </c>
      <c r="O39" s="14">
        <f t="shared" si="4"/>
        <v>0</v>
      </c>
      <c r="P39" s="15">
        <f t="shared" si="5"/>
        <v>-5.4504504504505462</v>
      </c>
      <c r="Q39" s="241">
        <f t="shared" si="6"/>
        <v>0.95912162162162096</v>
      </c>
      <c r="R39" s="616"/>
      <c r="S39" s="32">
        <v>0.5347222222222221</v>
      </c>
      <c r="T39" s="32">
        <v>0.58611111111111103</v>
      </c>
      <c r="U39" s="242">
        <f t="shared" si="26"/>
        <v>58.999999999999872</v>
      </c>
      <c r="V39" s="251">
        <f t="shared" si="25"/>
        <v>74.000000000000057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-98.108108108109718</v>
      </c>
      <c r="AF39" s="241">
        <f t="shared" si="9"/>
        <v>0.95912162162162096</v>
      </c>
      <c r="AG39" s="616"/>
    </row>
    <row r="40" spans="1:33" ht="15.75" customHeight="1">
      <c r="A40" s="633" t="s">
        <v>1227</v>
      </c>
      <c r="B40" s="27" t="s">
        <v>20</v>
      </c>
      <c r="C40" s="659" t="s">
        <v>57</v>
      </c>
      <c r="D40" s="659"/>
      <c r="E40" s="27">
        <v>26.18</v>
      </c>
      <c r="F40" s="253">
        <v>3787</v>
      </c>
      <c r="G40" s="242">
        <f t="shared" si="23"/>
        <v>99143.66</v>
      </c>
      <c r="H40" s="31" t="s">
        <v>40</v>
      </c>
      <c r="I40" s="250">
        <v>18</v>
      </c>
      <c r="J40" s="29">
        <v>2400</v>
      </c>
      <c r="K40" s="12">
        <f t="shared" si="1"/>
        <v>133.33333333333334</v>
      </c>
      <c r="L40" s="250">
        <v>18</v>
      </c>
      <c r="M40" s="13">
        <f t="shared" si="24"/>
        <v>2295.1515151515159</v>
      </c>
      <c r="N40" s="12">
        <f t="shared" si="3"/>
        <v>127.50841750841755</v>
      </c>
      <c r="O40" s="14">
        <f t="shared" si="4"/>
        <v>0</v>
      </c>
      <c r="P40" s="15">
        <f t="shared" si="5"/>
        <v>-5.8249158249157915</v>
      </c>
      <c r="Q40" s="241">
        <f t="shared" si="6"/>
        <v>0.95631313131313156</v>
      </c>
      <c r="R40" s="616"/>
      <c r="S40" s="32">
        <v>0.59166666666666656</v>
      </c>
      <c r="T40" s="32">
        <v>0.66041666666666654</v>
      </c>
      <c r="U40" s="242">
        <f t="shared" si="26"/>
        <v>7.9999999999999716</v>
      </c>
      <c r="V40" s="251">
        <f t="shared" si="25"/>
        <v>98.999999999999972</v>
      </c>
      <c r="W40" s="16"/>
      <c r="X40" s="16"/>
      <c r="Y40" s="16"/>
      <c r="Z40" s="16"/>
      <c r="AA40" s="612"/>
      <c r="AB40" s="612"/>
      <c r="AC40" s="136"/>
      <c r="AD40" s="18"/>
      <c r="AE40" s="14">
        <f t="shared" si="8"/>
        <v>-104.84848484848408</v>
      </c>
      <c r="AF40" s="241">
        <f t="shared" si="9"/>
        <v>0.95631313131313167</v>
      </c>
      <c r="AG40" s="616"/>
    </row>
    <row r="41" spans="1:33" ht="15.75" customHeight="1">
      <c r="A41" s="633" t="s">
        <v>1227</v>
      </c>
      <c r="B41" s="27" t="s">
        <v>20</v>
      </c>
      <c r="C41" s="106" t="s">
        <v>21</v>
      </c>
      <c r="D41" s="107"/>
      <c r="E41" s="27">
        <v>31.29</v>
      </c>
      <c r="F41" s="253">
        <v>4338</v>
      </c>
      <c r="G41" s="242">
        <f t="shared" si="23"/>
        <v>135736.01999999999</v>
      </c>
      <c r="H41" s="31" t="s">
        <v>40</v>
      </c>
      <c r="I41" s="250">
        <v>18</v>
      </c>
      <c r="J41" s="29">
        <v>2400</v>
      </c>
      <c r="K41" s="12">
        <f t="shared" si="1"/>
        <v>133.33333333333334</v>
      </c>
      <c r="L41" s="250">
        <v>18</v>
      </c>
      <c r="M41" s="13">
        <f t="shared" si="24"/>
        <v>2283.1578947368407</v>
      </c>
      <c r="N41" s="12">
        <f t="shared" si="3"/>
        <v>126.84210526315782</v>
      </c>
      <c r="O41" s="14">
        <f t="shared" si="4"/>
        <v>0</v>
      </c>
      <c r="P41" s="15">
        <f t="shared" si="5"/>
        <v>-6.4912280701755236</v>
      </c>
      <c r="Q41" s="241">
        <f t="shared" si="6"/>
        <v>0.95131578947368356</v>
      </c>
      <c r="R41" s="616"/>
      <c r="S41" s="32">
        <v>0.66597222222222208</v>
      </c>
      <c r="T41" s="32">
        <v>0.7451388888888888</v>
      </c>
      <c r="U41" s="242">
        <f t="shared" si="26"/>
        <v>7.9999999999999716</v>
      </c>
      <c r="V41" s="251">
        <f t="shared" si="25"/>
        <v>114.00000000000007</v>
      </c>
      <c r="W41" s="16"/>
      <c r="X41" s="16"/>
      <c r="Y41" s="16"/>
      <c r="Z41" s="16"/>
      <c r="AA41" s="248"/>
      <c r="AB41" s="249"/>
      <c r="AC41" s="136"/>
      <c r="AD41" s="18"/>
      <c r="AE41" s="14">
        <f t="shared" si="8"/>
        <v>-116.84210526315928</v>
      </c>
      <c r="AF41" s="241">
        <f t="shared" si="9"/>
        <v>0.95131578947368367</v>
      </c>
      <c r="AG41" s="616"/>
    </row>
    <row r="42" spans="1:33" ht="15.75" customHeight="1">
      <c r="A42" s="633" t="s">
        <v>1227</v>
      </c>
      <c r="B42" s="27" t="s">
        <v>1222</v>
      </c>
      <c r="C42" s="658"/>
      <c r="D42" s="658"/>
      <c r="E42" s="243"/>
      <c r="F42" s="253"/>
      <c r="G42" s="242"/>
      <c r="H42" s="253"/>
      <c r="I42" s="21">
        <v>17.5</v>
      </c>
      <c r="J42" s="29">
        <v>2400</v>
      </c>
      <c r="K42" s="12">
        <f t="shared" si="1"/>
        <v>137.14285714285714</v>
      </c>
      <c r="L42" s="21">
        <v>17.5</v>
      </c>
      <c r="M42" s="13">
        <f>AVERAGE(M34:M41)</f>
        <v>2295.9150508035491</v>
      </c>
      <c r="N42" s="12">
        <f t="shared" si="3"/>
        <v>131.19514576020279</v>
      </c>
      <c r="O42" s="14">
        <f t="shared" si="4"/>
        <v>0</v>
      </c>
      <c r="P42" s="15">
        <f t="shared" si="5"/>
        <v>-5.9477113826543473</v>
      </c>
      <c r="Q42" s="241">
        <f t="shared" si="6"/>
        <v>0.95663127116814539</v>
      </c>
      <c r="R42" s="616"/>
      <c r="S42" s="32"/>
      <c r="T42" s="32"/>
      <c r="U42" s="242"/>
      <c r="V42" s="251"/>
      <c r="W42" s="242"/>
      <c r="X42" s="242"/>
      <c r="Y42" s="22">
        <f>SUM(Y34:Y41)</f>
        <v>0</v>
      </c>
      <c r="Z42" s="22">
        <f>SUM(Z34:Z41)</f>
        <v>0</v>
      </c>
      <c r="AA42" s="611"/>
      <c r="AB42" s="611"/>
      <c r="AC42" s="22">
        <v>8</v>
      </c>
      <c r="AD42" s="22">
        <f>SUM(AD34:AD41)</f>
        <v>0</v>
      </c>
      <c r="AE42" s="14">
        <f t="shared" si="8"/>
        <v>-104.08494919645091</v>
      </c>
      <c r="AF42" s="241">
        <f t="shared" si="9"/>
        <v>0.9566312711681455</v>
      </c>
      <c r="AG42" s="616"/>
    </row>
    <row r="43" spans="1:33" ht="15.75" customHeight="1">
      <c r="A43" s="629" t="s">
        <v>1228</v>
      </c>
      <c r="B43" s="27" t="s">
        <v>20</v>
      </c>
      <c r="C43" s="660" t="s">
        <v>58</v>
      </c>
      <c r="D43" s="660"/>
      <c r="E43" s="27">
        <v>26.18</v>
      </c>
      <c r="F43" s="253">
        <v>3800</v>
      </c>
      <c r="G43" s="242">
        <f t="shared" ref="G43:G50" si="27">E43*F43</f>
        <v>99484</v>
      </c>
      <c r="H43" s="31">
        <v>2</v>
      </c>
      <c r="I43" s="250">
        <v>20</v>
      </c>
      <c r="J43" s="29">
        <v>2400</v>
      </c>
      <c r="K43" s="12">
        <f t="shared" si="1"/>
        <v>120</v>
      </c>
      <c r="L43" s="250">
        <v>20</v>
      </c>
      <c r="M43" s="13">
        <f t="shared" ref="M43:M50" si="28">F43/V43*60</f>
        <v>2303.030303030303</v>
      </c>
      <c r="N43" s="12">
        <f t="shared" si="3"/>
        <v>115.15151515151516</v>
      </c>
      <c r="O43" s="14">
        <f t="shared" si="4"/>
        <v>0</v>
      </c>
      <c r="P43" s="15">
        <f t="shared" si="5"/>
        <v>-4.8484848484848442</v>
      </c>
      <c r="Q43" s="241">
        <f t="shared" si="6"/>
        <v>0.95959595959595967</v>
      </c>
      <c r="R43" s="616">
        <f>Q51</f>
        <v>0.9562656893825352</v>
      </c>
      <c r="S43" s="32">
        <v>8.3333333333333329E-2</v>
      </c>
      <c r="T43" s="32">
        <v>0.15208333333333332</v>
      </c>
      <c r="U43" s="242"/>
      <c r="V43" s="251">
        <f t="shared" ref="V43:V50" si="29">(T43-S43)*24*60</f>
        <v>99</v>
      </c>
      <c r="W43" s="20">
        <f>T43</f>
        <v>0.15208333333333332</v>
      </c>
      <c r="X43" s="20">
        <f>S44</f>
        <v>0.17083333333333331</v>
      </c>
      <c r="Y43" s="20"/>
      <c r="Z43" s="20"/>
      <c r="AA43" s="612"/>
      <c r="AB43" s="612"/>
      <c r="AC43" s="136">
        <v>8</v>
      </c>
      <c r="AD43" s="18"/>
      <c r="AE43" s="14">
        <f t="shared" si="8"/>
        <v>-96.969696969696997</v>
      </c>
      <c r="AF43" s="241">
        <f t="shared" si="9"/>
        <v>0.95959595959595956</v>
      </c>
      <c r="AG43" s="616">
        <f>AF51</f>
        <v>0.95626568938253509</v>
      </c>
    </row>
    <row r="44" spans="1:33" ht="15.75" customHeight="1">
      <c r="A44" s="629" t="s">
        <v>1228</v>
      </c>
      <c r="B44" s="27" t="s">
        <v>20</v>
      </c>
      <c r="C44" s="660" t="s">
        <v>25</v>
      </c>
      <c r="D44" s="660"/>
      <c r="E44" s="27">
        <v>24.43</v>
      </c>
      <c r="F44" s="253">
        <v>4200</v>
      </c>
      <c r="G44" s="242">
        <f t="shared" si="27"/>
        <v>102606</v>
      </c>
      <c r="H44" s="31">
        <v>2</v>
      </c>
      <c r="I44" s="250">
        <v>14</v>
      </c>
      <c r="J44" s="29">
        <v>2400</v>
      </c>
      <c r="K44" s="12">
        <f t="shared" si="1"/>
        <v>171.42857142857142</v>
      </c>
      <c r="L44" s="250">
        <v>14</v>
      </c>
      <c r="M44" s="13">
        <f t="shared" si="28"/>
        <v>2290.9090909090914</v>
      </c>
      <c r="N44" s="12">
        <f t="shared" si="3"/>
        <v>163.63636363636368</v>
      </c>
      <c r="O44" s="14">
        <f t="shared" si="4"/>
        <v>0</v>
      </c>
      <c r="P44" s="15">
        <f t="shared" si="5"/>
        <v>-7.7922077922077335</v>
      </c>
      <c r="Q44" s="241">
        <f t="shared" si="6"/>
        <v>0.95454545454545492</v>
      </c>
      <c r="R44" s="616"/>
      <c r="S44" s="32">
        <v>0.17083333333333331</v>
      </c>
      <c r="T44" s="32">
        <v>0.24722222222222218</v>
      </c>
      <c r="U44" s="242">
        <f t="shared" ref="U44:U50" si="30">(S44-T43)*24*60</f>
        <v>26.999999999999986</v>
      </c>
      <c r="V44" s="251">
        <f t="shared" si="29"/>
        <v>109.99999999999997</v>
      </c>
      <c r="W44" s="242"/>
      <c r="X44" s="242"/>
      <c r="Y44" s="242"/>
      <c r="Z44" s="242"/>
      <c r="AA44" s="612"/>
      <c r="AB44" s="612"/>
      <c r="AC44" s="136"/>
      <c r="AD44" s="18"/>
      <c r="AE44" s="14">
        <f t="shared" si="8"/>
        <v>-109.09090909090855</v>
      </c>
      <c r="AF44" s="241">
        <f t="shared" si="9"/>
        <v>0.95454545454545481</v>
      </c>
      <c r="AG44" s="616"/>
    </row>
    <row r="45" spans="1:33">
      <c r="A45" s="630" t="s">
        <v>1228</v>
      </c>
      <c r="B45" s="27" t="s">
        <v>20</v>
      </c>
      <c r="C45" s="660" t="s">
        <v>83</v>
      </c>
      <c r="D45" s="660"/>
      <c r="E45" s="27">
        <v>25.98</v>
      </c>
      <c r="F45" s="253">
        <v>4758</v>
      </c>
      <c r="G45" s="242">
        <f t="shared" si="27"/>
        <v>123612.84</v>
      </c>
      <c r="H45" s="31" t="s">
        <v>40</v>
      </c>
      <c r="I45" s="250">
        <v>20</v>
      </c>
      <c r="J45" s="29">
        <v>2400</v>
      </c>
      <c r="K45" s="12">
        <f t="shared" si="1"/>
        <v>120</v>
      </c>
      <c r="L45" s="250">
        <v>20</v>
      </c>
      <c r="M45" s="13">
        <f t="shared" si="28"/>
        <v>2302.2580645161283</v>
      </c>
      <c r="N45" s="12">
        <f t="shared" si="3"/>
        <v>115.11290322580642</v>
      </c>
      <c r="O45" s="14">
        <f t="shared" si="4"/>
        <v>0</v>
      </c>
      <c r="P45" s="15">
        <f t="shared" si="5"/>
        <v>-4.88709677419358</v>
      </c>
      <c r="Q45" s="241">
        <f t="shared" si="6"/>
        <v>0.95927419354838683</v>
      </c>
      <c r="R45" s="616"/>
      <c r="S45" s="32">
        <v>0.25208333333333327</v>
      </c>
      <c r="T45" s="32">
        <v>0.33819444444444441</v>
      </c>
      <c r="U45" s="242">
        <f t="shared" si="30"/>
        <v>6.9999999999999751</v>
      </c>
      <c r="V45" s="251">
        <f t="shared" si="29"/>
        <v>124.00000000000004</v>
      </c>
      <c r="W45" s="242"/>
      <c r="X45" s="242"/>
      <c r="Y45" s="242"/>
      <c r="Z45" s="242"/>
      <c r="AA45" s="612"/>
      <c r="AB45" s="612"/>
      <c r="AC45" s="136"/>
      <c r="AD45" s="18"/>
      <c r="AE45" s="14">
        <f t="shared" si="8"/>
        <v>-97.741935483871657</v>
      </c>
      <c r="AF45" s="241">
        <f t="shared" si="9"/>
        <v>0.95927419354838683</v>
      </c>
      <c r="AG45" s="616"/>
    </row>
    <row r="46" spans="1:33">
      <c r="A46" s="630" t="s">
        <v>1228</v>
      </c>
      <c r="B46" s="27" t="s">
        <v>20</v>
      </c>
      <c r="C46" s="660" t="s">
        <v>26</v>
      </c>
      <c r="D46" s="660"/>
      <c r="E46" s="27">
        <v>34.1</v>
      </c>
      <c r="F46" s="253">
        <v>3800</v>
      </c>
      <c r="G46" s="242">
        <f t="shared" si="27"/>
        <v>129580</v>
      </c>
      <c r="H46" s="31">
        <v>2</v>
      </c>
      <c r="I46" s="250">
        <v>17</v>
      </c>
      <c r="J46" s="29">
        <v>1600</v>
      </c>
      <c r="K46" s="12">
        <f t="shared" si="1"/>
        <v>94.117647058823536</v>
      </c>
      <c r="L46" s="250">
        <v>17</v>
      </c>
      <c r="M46" s="13">
        <f t="shared" si="28"/>
        <v>1519.9999999999998</v>
      </c>
      <c r="N46" s="12">
        <f t="shared" si="3"/>
        <v>89.411764705882334</v>
      </c>
      <c r="O46" s="14">
        <f t="shared" si="4"/>
        <v>0</v>
      </c>
      <c r="P46" s="15">
        <f t="shared" si="5"/>
        <v>-4.7058823529412024</v>
      </c>
      <c r="Q46" s="241">
        <f t="shared" si="6"/>
        <v>0.94999999999999973</v>
      </c>
      <c r="R46" s="616"/>
      <c r="S46" s="32">
        <v>0.34166666666666662</v>
      </c>
      <c r="T46" s="32">
        <v>0.4458333333333333</v>
      </c>
      <c r="U46" s="242">
        <f t="shared" si="30"/>
        <v>4.9999999999999822</v>
      </c>
      <c r="V46" s="251">
        <f t="shared" si="29"/>
        <v>150.00000000000003</v>
      </c>
      <c r="W46" s="16"/>
      <c r="X46" s="16"/>
      <c r="Y46" s="16"/>
      <c r="Z46" s="16"/>
      <c r="AA46" s="612"/>
      <c r="AB46" s="612"/>
      <c r="AC46" s="136"/>
      <c r="AD46" s="18"/>
      <c r="AE46" s="14">
        <f t="shared" si="8"/>
        <v>-80.000000000000227</v>
      </c>
      <c r="AF46" s="241">
        <f t="shared" si="9"/>
        <v>0.94999999999999984</v>
      </c>
      <c r="AG46" s="616"/>
    </row>
    <row r="47" spans="1:33">
      <c r="A47" s="630" t="s">
        <v>1228</v>
      </c>
      <c r="B47" s="27" t="s">
        <v>20</v>
      </c>
      <c r="C47" s="660" t="s">
        <v>64</v>
      </c>
      <c r="D47" s="660"/>
      <c r="E47" s="27">
        <v>20.21</v>
      </c>
      <c r="F47" s="253">
        <v>2996</v>
      </c>
      <c r="G47" s="242">
        <f t="shared" si="27"/>
        <v>60549.16</v>
      </c>
      <c r="H47" s="31" t="s">
        <v>40</v>
      </c>
      <c r="I47" s="250">
        <v>18</v>
      </c>
      <c r="J47" s="29">
        <v>2400</v>
      </c>
      <c r="K47" s="12">
        <f t="shared" si="1"/>
        <v>133.33333333333334</v>
      </c>
      <c r="L47" s="250">
        <v>18</v>
      </c>
      <c r="M47" s="13">
        <f t="shared" si="28"/>
        <v>2304.6153846153834</v>
      </c>
      <c r="N47" s="12">
        <f t="shared" si="3"/>
        <v>128.03418803418796</v>
      </c>
      <c r="O47" s="14">
        <f t="shared" si="4"/>
        <v>0</v>
      </c>
      <c r="P47" s="15">
        <f t="shared" si="5"/>
        <v>-5.2991452991453798</v>
      </c>
      <c r="Q47" s="241">
        <f t="shared" si="6"/>
        <v>0.96025641025640962</v>
      </c>
      <c r="R47" s="616"/>
      <c r="S47" s="32">
        <v>0.44999999999999996</v>
      </c>
      <c r="T47" s="32">
        <v>0.50416666666666665</v>
      </c>
      <c r="U47" s="242">
        <f t="shared" si="30"/>
        <v>5.9999999999999787</v>
      </c>
      <c r="V47" s="251">
        <f t="shared" si="29"/>
        <v>78.000000000000043</v>
      </c>
      <c r="W47" s="16">
        <f>T47</f>
        <v>0.50416666666666665</v>
      </c>
      <c r="X47" s="16">
        <f>S48</f>
        <v>0.54305555555555551</v>
      </c>
      <c r="Y47" s="16"/>
      <c r="Z47" s="16"/>
      <c r="AA47" s="612"/>
      <c r="AB47" s="612"/>
      <c r="AC47" s="136"/>
      <c r="AD47" s="18"/>
      <c r="AE47" s="14">
        <f t="shared" si="8"/>
        <v>-95.384615384616609</v>
      </c>
      <c r="AF47" s="241">
        <f t="shared" si="9"/>
        <v>0.96025641025640973</v>
      </c>
      <c r="AG47" s="616"/>
    </row>
    <row r="48" spans="1:33">
      <c r="A48" s="630" t="s">
        <v>1228</v>
      </c>
      <c r="B48" s="27" t="s">
        <v>20</v>
      </c>
      <c r="C48" s="660" t="s">
        <v>58</v>
      </c>
      <c r="D48" s="660"/>
      <c r="E48" s="27">
        <v>26.18</v>
      </c>
      <c r="F48" s="253">
        <v>2818</v>
      </c>
      <c r="G48" s="242">
        <f t="shared" si="27"/>
        <v>73775.240000000005</v>
      </c>
      <c r="H48" s="31" t="s">
        <v>40</v>
      </c>
      <c r="I48" s="250">
        <v>20</v>
      </c>
      <c r="J48" s="29">
        <v>2400</v>
      </c>
      <c r="K48" s="12">
        <f t="shared" si="1"/>
        <v>120</v>
      </c>
      <c r="L48" s="250">
        <v>20</v>
      </c>
      <c r="M48" s="13">
        <f t="shared" si="28"/>
        <v>2284.8648648648632</v>
      </c>
      <c r="N48" s="12">
        <f t="shared" si="3"/>
        <v>114.24324324324316</v>
      </c>
      <c r="O48" s="14">
        <f t="shared" si="4"/>
        <v>0</v>
      </c>
      <c r="P48" s="15">
        <f t="shared" si="5"/>
        <v>-5.7567567567568432</v>
      </c>
      <c r="Q48" s="241">
        <f t="shared" si="6"/>
        <v>0.95202702702702635</v>
      </c>
      <c r="R48" s="616"/>
      <c r="S48" s="32">
        <v>0.54305555555555551</v>
      </c>
      <c r="T48" s="32">
        <v>0.59444444444444444</v>
      </c>
      <c r="U48" s="242">
        <f t="shared" si="30"/>
        <v>55.999999999999957</v>
      </c>
      <c r="V48" s="251">
        <f t="shared" si="29"/>
        <v>74.000000000000057</v>
      </c>
      <c r="W48" s="16"/>
      <c r="X48" s="16"/>
      <c r="Y48" s="16"/>
      <c r="Z48" s="16"/>
      <c r="AA48" s="612"/>
      <c r="AB48" s="612"/>
      <c r="AC48" s="136"/>
      <c r="AD48" s="18"/>
      <c r="AE48" s="14">
        <f t="shared" si="8"/>
        <v>-115.13513513513681</v>
      </c>
      <c r="AF48" s="241">
        <f t="shared" si="9"/>
        <v>0.95202702702702635</v>
      </c>
      <c r="AG48" s="616"/>
    </row>
    <row r="49" spans="1:33">
      <c r="A49" s="630" t="s">
        <v>1228</v>
      </c>
      <c r="B49" s="27" t="s">
        <v>20</v>
      </c>
      <c r="C49" s="660" t="s">
        <v>26</v>
      </c>
      <c r="D49" s="660"/>
      <c r="E49" s="27">
        <v>34.1</v>
      </c>
      <c r="F49" s="253">
        <v>3244</v>
      </c>
      <c r="G49" s="242">
        <f t="shared" si="27"/>
        <v>110620.40000000001</v>
      </c>
      <c r="H49" s="31" t="s">
        <v>40</v>
      </c>
      <c r="I49" s="250">
        <v>17</v>
      </c>
      <c r="J49" s="29">
        <v>1600</v>
      </c>
      <c r="K49" s="12">
        <f t="shared" si="1"/>
        <v>94.117647058823536</v>
      </c>
      <c r="L49" s="250">
        <v>17</v>
      </c>
      <c r="M49" s="13">
        <f t="shared" si="28"/>
        <v>1532.59842519685</v>
      </c>
      <c r="N49" s="12">
        <f t="shared" si="3"/>
        <v>90.152848540991172</v>
      </c>
      <c r="O49" s="14">
        <f t="shared" si="4"/>
        <v>0</v>
      </c>
      <c r="P49" s="15">
        <f t="shared" si="5"/>
        <v>-3.9647985178323637</v>
      </c>
      <c r="Q49" s="241">
        <f t="shared" si="6"/>
        <v>0.9578740157480311</v>
      </c>
      <c r="R49" s="616"/>
      <c r="S49" s="32">
        <v>0.6</v>
      </c>
      <c r="T49" s="32">
        <v>0.68819444444444444</v>
      </c>
      <c r="U49" s="242">
        <f t="shared" si="30"/>
        <v>7.9999999999999716</v>
      </c>
      <c r="V49" s="251">
        <f t="shared" si="29"/>
        <v>127.00000000000003</v>
      </c>
      <c r="W49" s="16"/>
      <c r="X49" s="16"/>
      <c r="Y49" s="19"/>
      <c r="Z49" s="19"/>
      <c r="AA49" s="607"/>
      <c r="AB49" s="608"/>
      <c r="AC49" s="136"/>
      <c r="AD49" s="18"/>
      <c r="AE49" s="14">
        <f t="shared" si="8"/>
        <v>-67.40157480314997</v>
      </c>
      <c r="AF49" s="241">
        <f t="shared" si="9"/>
        <v>0.95787401574803122</v>
      </c>
      <c r="AG49" s="616"/>
    </row>
    <row r="50" spans="1:33">
      <c r="A50" s="630" t="s">
        <v>1228</v>
      </c>
      <c r="B50" s="27" t="s">
        <v>20</v>
      </c>
      <c r="C50" s="660" t="s">
        <v>25</v>
      </c>
      <c r="D50" s="660"/>
      <c r="E50" s="27">
        <v>24.43</v>
      </c>
      <c r="F50" s="253">
        <v>3438</v>
      </c>
      <c r="G50" s="242">
        <f t="shared" si="27"/>
        <v>83990.34</v>
      </c>
      <c r="H50" s="31" t="s">
        <v>40</v>
      </c>
      <c r="I50" s="250">
        <v>14</v>
      </c>
      <c r="J50" s="29">
        <v>2400</v>
      </c>
      <c r="K50" s="12">
        <f t="shared" si="1"/>
        <v>171.42857142857142</v>
      </c>
      <c r="L50" s="250">
        <v>14</v>
      </c>
      <c r="M50" s="13">
        <f t="shared" si="28"/>
        <v>2292</v>
      </c>
      <c r="N50" s="12">
        <f t="shared" si="3"/>
        <v>163.71428571428572</v>
      </c>
      <c r="O50" s="14">
        <f t="shared" si="4"/>
        <v>0</v>
      </c>
      <c r="P50" s="15">
        <f t="shared" si="5"/>
        <v>-7.714285714285694</v>
      </c>
      <c r="Q50" s="241">
        <f t="shared" si="6"/>
        <v>0.95500000000000007</v>
      </c>
      <c r="R50" s="616"/>
      <c r="S50" s="32">
        <v>0.69305555555555554</v>
      </c>
      <c r="T50" s="32">
        <v>0.75555555555555554</v>
      </c>
      <c r="U50" s="242">
        <f t="shared" si="30"/>
        <v>6.9999999999999751</v>
      </c>
      <c r="V50" s="251">
        <f t="shared" si="29"/>
        <v>90</v>
      </c>
      <c r="W50" s="16"/>
      <c r="X50" s="16"/>
      <c r="Y50" s="19"/>
      <c r="Z50" s="19"/>
      <c r="AA50" s="607"/>
      <c r="AB50" s="608"/>
      <c r="AC50" s="136"/>
      <c r="AD50" s="18"/>
      <c r="AE50" s="14">
        <f t="shared" si="8"/>
        <v>-108</v>
      </c>
      <c r="AF50" s="241">
        <f t="shared" si="9"/>
        <v>0.95499999999999996</v>
      </c>
      <c r="AG50" s="616"/>
    </row>
    <row r="51" spans="1:33">
      <c r="A51" s="630" t="s">
        <v>1228</v>
      </c>
      <c r="B51" s="28" t="s">
        <v>1229</v>
      </c>
      <c r="C51" s="658"/>
      <c r="D51" s="658"/>
      <c r="E51" s="243"/>
      <c r="F51" s="28"/>
      <c r="G51" s="12"/>
      <c r="H51" s="253"/>
      <c r="I51" s="21">
        <v>17.5</v>
      </c>
      <c r="J51" s="29">
        <v>2200</v>
      </c>
      <c r="K51" s="12">
        <f t="shared" si="1"/>
        <v>125.71428571428571</v>
      </c>
      <c r="L51" s="21">
        <v>17.5</v>
      </c>
      <c r="M51" s="13">
        <f>AVERAGE(M43:M50)</f>
        <v>2103.7845166415773</v>
      </c>
      <c r="N51" s="12">
        <f t="shared" si="3"/>
        <v>120.21625809380441</v>
      </c>
      <c r="O51" s="14">
        <f t="shared" si="4"/>
        <v>0</v>
      </c>
      <c r="P51" s="15">
        <f t="shared" si="5"/>
        <v>-5.4980276204812952</v>
      </c>
      <c r="Q51" s="241">
        <f t="shared" si="6"/>
        <v>0.9562656893825352</v>
      </c>
      <c r="R51" s="616"/>
      <c r="S51" s="32"/>
      <c r="T51" s="32"/>
      <c r="U51" s="12"/>
      <c r="V51" s="251"/>
      <c r="W51" s="12"/>
      <c r="X51" s="12"/>
      <c r="Y51" s="22">
        <f>SUM(Y43:Y50)</f>
        <v>0</v>
      </c>
      <c r="Z51" s="22">
        <f>SUM(Z43:Z50)</f>
        <v>0</v>
      </c>
      <c r="AA51" s="611"/>
      <c r="AB51" s="611"/>
      <c r="AC51" s="22">
        <v>8</v>
      </c>
      <c r="AD51" s="22">
        <f>SUM(AD43:AD50)</f>
        <v>0</v>
      </c>
      <c r="AE51" s="14">
        <f t="shared" si="8"/>
        <v>-96.215483358422716</v>
      </c>
      <c r="AF51" s="241">
        <f t="shared" si="9"/>
        <v>0.95626568938253509</v>
      </c>
      <c r="AG51" s="616"/>
    </row>
    <row r="52" spans="1:33" ht="15.75" customHeight="1">
      <c r="A52" s="623" t="s">
        <v>1230</v>
      </c>
      <c r="B52" s="27" t="s">
        <v>27</v>
      </c>
      <c r="C52" s="605" t="s">
        <v>33</v>
      </c>
      <c r="D52" s="606"/>
      <c r="E52" s="27">
        <v>34.36</v>
      </c>
      <c r="F52" s="253">
        <v>2225</v>
      </c>
      <c r="G52" s="242">
        <f t="shared" ref="G52:G55" si="31">E52*F52</f>
        <v>76451</v>
      </c>
      <c r="H52" s="31" t="s">
        <v>40</v>
      </c>
      <c r="I52" s="250">
        <v>10</v>
      </c>
      <c r="J52" s="29">
        <v>3000</v>
      </c>
      <c r="K52" s="12">
        <f t="shared" si="1"/>
        <v>300</v>
      </c>
      <c r="L52" s="250">
        <v>10</v>
      </c>
      <c r="M52" s="13">
        <f t="shared" ref="M52:M55" si="32">F52/V52*60</f>
        <v>2902.1739130434785</v>
      </c>
      <c r="N52" s="13">
        <f t="shared" si="3"/>
        <v>290.21739130434787</v>
      </c>
      <c r="O52" s="14">
        <f t="shared" si="4"/>
        <v>0</v>
      </c>
      <c r="P52" s="15">
        <f t="shared" si="5"/>
        <v>-9.7826086956521294</v>
      </c>
      <c r="Q52" s="241">
        <f t="shared" si="6"/>
        <v>0.96739130434782628</v>
      </c>
      <c r="R52" s="626">
        <f>Q56</f>
        <v>0.96052044513457557</v>
      </c>
      <c r="S52" s="32">
        <v>0.20833333333333334</v>
      </c>
      <c r="T52" s="32">
        <v>0.24027777777777778</v>
      </c>
      <c r="U52" s="20"/>
      <c r="V52" s="251">
        <f t="shared" ref="V52:V55" si="33">(T52-S52)*24*60</f>
        <v>46</v>
      </c>
      <c r="W52" s="16"/>
      <c r="X52" s="16"/>
      <c r="Y52" s="19"/>
      <c r="Z52" s="19"/>
      <c r="AA52" s="607"/>
      <c r="AB52" s="608"/>
      <c r="AC52" s="136">
        <v>4</v>
      </c>
      <c r="AD52" s="18"/>
      <c r="AE52" s="14">
        <f t="shared" si="8"/>
        <v>-97.826086956521522</v>
      </c>
      <c r="AF52" s="241">
        <f t="shared" si="9"/>
        <v>0.96739130434782616</v>
      </c>
      <c r="AG52" s="626">
        <f>AF56</f>
        <v>0.96052044513457557</v>
      </c>
    </row>
    <row r="53" spans="1:33" ht="15.75" customHeight="1">
      <c r="A53" s="624" t="s">
        <v>1230</v>
      </c>
      <c r="B53" s="27" t="s">
        <v>27</v>
      </c>
      <c r="C53" s="605" t="s">
        <v>29</v>
      </c>
      <c r="D53" s="606"/>
      <c r="E53" s="27">
        <v>21.13</v>
      </c>
      <c r="F53" s="253">
        <v>5727</v>
      </c>
      <c r="G53" s="242">
        <f t="shared" si="31"/>
        <v>121011.51</v>
      </c>
      <c r="H53" s="31" t="s">
        <v>40</v>
      </c>
      <c r="I53" s="250">
        <v>10</v>
      </c>
      <c r="J53" s="29">
        <v>3000</v>
      </c>
      <c r="K53" s="12">
        <f t="shared" si="1"/>
        <v>300</v>
      </c>
      <c r="L53" s="250">
        <v>10</v>
      </c>
      <c r="M53" s="13">
        <f t="shared" si="32"/>
        <v>2863.5000000000005</v>
      </c>
      <c r="N53" s="13">
        <f t="shared" si="3"/>
        <v>286.35000000000002</v>
      </c>
      <c r="O53" s="14">
        <f t="shared" si="4"/>
        <v>0</v>
      </c>
      <c r="P53" s="15">
        <f t="shared" si="5"/>
        <v>-13.649999999999977</v>
      </c>
      <c r="Q53" s="241">
        <f t="shared" si="6"/>
        <v>0.95450000000000013</v>
      </c>
      <c r="R53" s="627"/>
      <c r="S53" s="32">
        <v>0.24513888888888891</v>
      </c>
      <c r="T53" s="32">
        <v>0.32847222222222222</v>
      </c>
      <c r="U53" s="242">
        <f t="shared" ref="U53:U55" si="34">(S53-T52)*24*60</f>
        <v>7.0000000000000151</v>
      </c>
      <c r="V53" s="251">
        <f t="shared" si="33"/>
        <v>119.99999999999997</v>
      </c>
      <c r="W53" s="16"/>
      <c r="X53" s="16"/>
      <c r="Y53" s="19"/>
      <c r="Z53" s="19"/>
      <c r="AA53" s="607"/>
      <c r="AB53" s="608"/>
      <c r="AC53" s="136"/>
      <c r="AD53" s="18"/>
      <c r="AE53" s="14">
        <f t="shared" si="8"/>
        <v>-136.49999999999955</v>
      </c>
      <c r="AF53" s="241">
        <f t="shared" si="9"/>
        <v>0.95450000000000013</v>
      </c>
      <c r="AG53" s="627"/>
    </row>
    <row r="54" spans="1:33" ht="15.75" customHeight="1">
      <c r="A54" s="624" t="s">
        <v>1230</v>
      </c>
      <c r="B54" s="27" t="s">
        <v>27</v>
      </c>
      <c r="C54" s="605" t="s">
        <v>30</v>
      </c>
      <c r="D54" s="606"/>
      <c r="E54" s="27">
        <v>27.17</v>
      </c>
      <c r="F54" s="253">
        <v>5744</v>
      </c>
      <c r="G54" s="242">
        <f t="shared" si="31"/>
        <v>156064.48000000001</v>
      </c>
      <c r="H54" s="31" t="s">
        <v>40</v>
      </c>
      <c r="I54" s="250">
        <v>10</v>
      </c>
      <c r="J54" s="29">
        <v>3000</v>
      </c>
      <c r="K54" s="12">
        <f t="shared" si="1"/>
        <v>300</v>
      </c>
      <c r="L54" s="250">
        <v>10</v>
      </c>
      <c r="M54" s="13">
        <f t="shared" si="32"/>
        <v>2872.0000000000009</v>
      </c>
      <c r="N54" s="13">
        <f t="shared" si="3"/>
        <v>287.2000000000001</v>
      </c>
      <c r="O54" s="14">
        <f t="shared" si="4"/>
        <v>0</v>
      </c>
      <c r="P54" s="15">
        <f t="shared" si="5"/>
        <v>-12.799999999999898</v>
      </c>
      <c r="Q54" s="241">
        <f t="shared" si="6"/>
        <v>0.9573333333333337</v>
      </c>
      <c r="R54" s="627"/>
      <c r="S54" s="32">
        <v>0.33402777777777776</v>
      </c>
      <c r="T54" s="32">
        <v>0.41736111111111107</v>
      </c>
      <c r="U54" s="242">
        <f t="shared" si="34"/>
        <v>7.9999999999999716</v>
      </c>
      <c r="V54" s="251">
        <f t="shared" si="33"/>
        <v>119.99999999999997</v>
      </c>
      <c r="W54" s="16"/>
      <c r="X54" s="16"/>
      <c r="Y54" s="19"/>
      <c r="Z54" s="19"/>
      <c r="AA54" s="607"/>
      <c r="AB54" s="608"/>
      <c r="AC54" s="136"/>
      <c r="AD54" s="18"/>
      <c r="AE54" s="14">
        <f t="shared" si="8"/>
        <v>-127.99999999999909</v>
      </c>
      <c r="AF54" s="241">
        <f t="shared" si="9"/>
        <v>0.95733333333333359</v>
      </c>
      <c r="AG54" s="627"/>
    </row>
    <row r="55" spans="1:33" ht="15.75" customHeight="1">
      <c r="A55" s="624" t="s">
        <v>1230</v>
      </c>
      <c r="B55" s="27" t="s">
        <v>27</v>
      </c>
      <c r="C55" s="605" t="s">
        <v>35</v>
      </c>
      <c r="D55" s="606"/>
      <c r="E55" s="27">
        <v>35.869999999999997</v>
      </c>
      <c r="F55" s="253">
        <v>3033</v>
      </c>
      <c r="G55" s="242">
        <f t="shared" si="31"/>
        <v>108793.70999999999</v>
      </c>
      <c r="H55" s="31" t="s">
        <v>40</v>
      </c>
      <c r="I55" s="250">
        <v>9</v>
      </c>
      <c r="J55" s="29">
        <v>3000</v>
      </c>
      <c r="K55" s="12">
        <f t="shared" si="1"/>
        <v>333.33333333333331</v>
      </c>
      <c r="L55" s="250">
        <v>9</v>
      </c>
      <c r="M55" s="13">
        <f t="shared" si="32"/>
        <v>2888.571428571428</v>
      </c>
      <c r="N55" s="13">
        <f t="shared" si="3"/>
        <v>320.95238095238091</v>
      </c>
      <c r="O55" s="14">
        <f t="shared" si="4"/>
        <v>0</v>
      </c>
      <c r="P55" s="15">
        <f t="shared" si="5"/>
        <v>-12.380952380952408</v>
      </c>
      <c r="Q55" s="241">
        <f t="shared" si="6"/>
        <v>0.96285714285714274</v>
      </c>
      <c r="R55" s="627"/>
      <c r="S55" s="32">
        <v>0.42222222222222217</v>
      </c>
      <c r="T55" s="32">
        <v>0.46597222222222218</v>
      </c>
      <c r="U55" s="242">
        <f t="shared" si="34"/>
        <v>6.9999999999999751</v>
      </c>
      <c r="V55" s="251">
        <f t="shared" si="33"/>
        <v>63.000000000000014</v>
      </c>
      <c r="W55" s="16"/>
      <c r="X55" s="16"/>
      <c r="Y55" s="19"/>
      <c r="Z55" s="19"/>
      <c r="AA55" s="607"/>
      <c r="AB55" s="608"/>
      <c r="AC55" s="136"/>
      <c r="AD55" s="18"/>
      <c r="AE55" s="14">
        <f t="shared" si="8"/>
        <v>-111.42857142857201</v>
      </c>
      <c r="AF55" s="241">
        <f t="shared" si="9"/>
        <v>0.96285714285714263</v>
      </c>
      <c r="AG55" s="627"/>
    </row>
    <row r="56" spans="1:33" ht="15.75" customHeight="1">
      <c r="A56" s="625" t="s">
        <v>1230</v>
      </c>
      <c r="B56" s="27" t="s">
        <v>1229</v>
      </c>
      <c r="C56" s="609"/>
      <c r="D56" s="610"/>
      <c r="E56" s="245"/>
      <c r="F56" s="253"/>
      <c r="G56" s="242"/>
      <c r="H56" s="253"/>
      <c r="I56" s="21">
        <v>9.75</v>
      </c>
      <c r="J56" s="29">
        <v>3000</v>
      </c>
      <c r="K56" s="12">
        <f t="shared" si="1"/>
        <v>307.69230769230768</v>
      </c>
      <c r="L56" s="21">
        <v>9.75</v>
      </c>
      <c r="M56" s="13">
        <f>AVERAGE(M52:M55)</f>
        <v>2881.5613354037268</v>
      </c>
      <c r="N56" s="12">
        <f t="shared" si="3"/>
        <v>295.54475234910018</v>
      </c>
      <c r="O56" s="14">
        <f t="shared" si="4"/>
        <v>0</v>
      </c>
      <c r="P56" s="15">
        <f t="shared" si="5"/>
        <v>-12.1475553432075</v>
      </c>
      <c r="Q56" s="241">
        <f t="shared" si="6"/>
        <v>0.96052044513457557</v>
      </c>
      <c r="R56" s="628"/>
      <c r="S56" s="32"/>
      <c r="T56" s="32"/>
      <c r="U56" s="242"/>
      <c r="V56" s="251"/>
      <c r="W56" s="16"/>
      <c r="X56" s="16"/>
      <c r="Y56" s="22">
        <f>SUM(Y52:Y55)</f>
        <v>0</v>
      </c>
      <c r="Z56" s="22">
        <f>SUM(Z52:Z55)</f>
        <v>0</v>
      </c>
      <c r="AA56" s="619"/>
      <c r="AB56" s="620"/>
      <c r="AC56" s="22">
        <v>4</v>
      </c>
      <c r="AD56" s="22">
        <f>SUM(AD52:AD55)</f>
        <v>0</v>
      </c>
      <c r="AE56" s="14">
        <f t="shared" si="8"/>
        <v>-118.43866459627316</v>
      </c>
      <c r="AF56" s="241">
        <f t="shared" si="9"/>
        <v>0.96052044513457557</v>
      </c>
      <c r="AG56" s="628"/>
    </row>
    <row r="57" spans="1:33" ht="15.75" customHeight="1">
      <c r="A57" s="621" t="s">
        <v>1231</v>
      </c>
      <c r="B57" s="27" t="s">
        <v>5</v>
      </c>
      <c r="C57" s="660" t="s">
        <v>15</v>
      </c>
      <c r="D57" s="660"/>
      <c r="E57" s="27">
        <v>59.04</v>
      </c>
      <c r="F57" s="30">
        <v>2391</v>
      </c>
      <c r="G57" s="242">
        <f t="shared" ref="G57:G63" si="35">E57*F57</f>
        <v>141164.63999999998</v>
      </c>
      <c r="H57" s="31" t="s">
        <v>40</v>
      </c>
      <c r="I57" s="250">
        <v>19</v>
      </c>
      <c r="J57" s="29">
        <v>2000</v>
      </c>
      <c r="K57" s="12">
        <f t="shared" si="1"/>
        <v>105.26315789473684</v>
      </c>
      <c r="L57" s="250">
        <v>19</v>
      </c>
      <c r="M57" s="13">
        <f t="shared" ref="M57" si="36">F57/V57*60</f>
        <v>1912.7999999999997</v>
      </c>
      <c r="N57" s="13">
        <f t="shared" si="3"/>
        <v>100.6736842105263</v>
      </c>
      <c r="O57" s="14">
        <f t="shared" si="4"/>
        <v>0</v>
      </c>
      <c r="P57" s="15">
        <f t="shared" si="5"/>
        <v>-4.5894736842105317</v>
      </c>
      <c r="Q57" s="241">
        <f t="shared" si="6"/>
        <v>0.95639999999999992</v>
      </c>
      <c r="R57" s="616">
        <f>Q64</f>
        <v>0.95846971626587008</v>
      </c>
      <c r="S57" s="32">
        <v>0.20833333333333334</v>
      </c>
      <c r="T57" s="32">
        <v>0.26041666666666669</v>
      </c>
      <c r="U57" s="20"/>
      <c r="V57" s="251">
        <f t="shared" ref="V57:V63" si="37">(T57-S57)*24*60</f>
        <v>75.000000000000014</v>
      </c>
      <c r="W57" s="16"/>
      <c r="X57" s="16"/>
      <c r="Y57" s="20"/>
      <c r="Z57" s="20"/>
      <c r="AA57" s="612"/>
      <c r="AB57" s="612"/>
      <c r="AC57" s="136">
        <v>7</v>
      </c>
      <c r="AD57" s="18"/>
      <c r="AE57" s="14">
        <f t="shared" si="8"/>
        <v>-87.200000000000273</v>
      </c>
      <c r="AF57" s="241">
        <f t="shared" si="9"/>
        <v>0.95639999999999992</v>
      </c>
      <c r="AG57" s="616">
        <f>AF64</f>
        <v>0.95846971626587019</v>
      </c>
    </row>
    <row r="58" spans="1:33" ht="15.75" customHeight="1">
      <c r="A58" s="621" t="s">
        <v>1231</v>
      </c>
      <c r="B58" s="27" t="s">
        <v>5</v>
      </c>
      <c r="C58" s="660" t="s">
        <v>31</v>
      </c>
      <c r="D58" s="660"/>
      <c r="E58" s="27">
        <v>56.43</v>
      </c>
      <c r="F58" s="30">
        <v>1645</v>
      </c>
      <c r="G58" s="242">
        <f t="shared" si="35"/>
        <v>92827.35</v>
      </c>
      <c r="H58" s="31" t="s">
        <v>40</v>
      </c>
      <c r="I58" s="250">
        <v>22</v>
      </c>
      <c r="J58" s="29">
        <v>2000</v>
      </c>
      <c r="K58" s="12">
        <f t="shared" si="1"/>
        <v>90.909090909090907</v>
      </c>
      <c r="L58" s="250">
        <v>22</v>
      </c>
      <c r="M58" s="13">
        <f>F58/V58*60</f>
        <v>1935.2941176470599</v>
      </c>
      <c r="N58" s="13">
        <f t="shared" si="3"/>
        <v>87.967914438502717</v>
      </c>
      <c r="O58" s="14">
        <f t="shared" si="4"/>
        <v>0</v>
      </c>
      <c r="P58" s="15">
        <f t="shared" si="5"/>
        <v>-2.9411764705881893</v>
      </c>
      <c r="Q58" s="241">
        <f t="shared" si="6"/>
        <v>0.96764705882352997</v>
      </c>
      <c r="R58" s="616"/>
      <c r="S58" s="32">
        <v>0.26458333333333334</v>
      </c>
      <c r="T58" s="32">
        <v>0.3</v>
      </c>
      <c r="U58" s="242">
        <f t="shared" ref="U58:U63" si="38">IF(S58=TIME(17,0,0),"",(S58-T57)*24*60)</f>
        <v>5.9999999999999787</v>
      </c>
      <c r="V58" s="251">
        <f t="shared" si="37"/>
        <v>50.999999999999979</v>
      </c>
      <c r="W58" s="16"/>
      <c r="X58" s="16"/>
      <c r="Y58" s="16"/>
      <c r="Z58" s="16"/>
      <c r="AA58" s="612"/>
      <c r="AB58" s="612"/>
      <c r="AC58" s="136"/>
      <c r="AD58" s="18"/>
      <c r="AE58" s="14">
        <f t="shared" si="8"/>
        <v>-64.70588235294008</v>
      </c>
      <c r="AF58" s="241">
        <f t="shared" si="9"/>
        <v>0.96764705882352997</v>
      </c>
      <c r="AG58" s="616"/>
    </row>
    <row r="59" spans="1:33" ht="15.75" customHeight="1">
      <c r="A59" s="621" t="s">
        <v>1231</v>
      </c>
      <c r="B59" s="27" t="s">
        <v>5</v>
      </c>
      <c r="C59" s="605" t="s">
        <v>81</v>
      </c>
      <c r="D59" s="606"/>
      <c r="E59" s="27">
        <v>51.44</v>
      </c>
      <c r="F59" s="30">
        <v>2342</v>
      </c>
      <c r="G59" s="242">
        <f t="shared" si="35"/>
        <v>120472.48</v>
      </c>
      <c r="H59" s="31" t="s">
        <v>40</v>
      </c>
      <c r="I59" s="250">
        <v>25</v>
      </c>
      <c r="J59" s="29">
        <v>2000</v>
      </c>
      <c r="K59" s="12">
        <f t="shared" si="1"/>
        <v>80</v>
      </c>
      <c r="L59" s="250">
        <v>25</v>
      </c>
      <c r="M59" s="13">
        <f t="shared" ref="M59:M63" si="39">F59/V59*60</f>
        <v>1924.9315068493154</v>
      </c>
      <c r="N59" s="13">
        <f t="shared" si="3"/>
        <v>76.997260273972614</v>
      </c>
      <c r="O59" s="14">
        <f t="shared" si="4"/>
        <v>0</v>
      </c>
      <c r="P59" s="15">
        <f t="shared" si="5"/>
        <v>-3.0027397260273858</v>
      </c>
      <c r="Q59" s="241">
        <f t="shared" si="6"/>
        <v>0.96246575342465768</v>
      </c>
      <c r="R59" s="616"/>
      <c r="S59" s="32">
        <v>0.30555555555555552</v>
      </c>
      <c r="T59" s="32">
        <v>0.35624999999999996</v>
      </c>
      <c r="U59" s="242">
        <f t="shared" si="38"/>
        <v>7.9999999999999716</v>
      </c>
      <c r="V59" s="251">
        <f t="shared" si="37"/>
        <v>72.999999999999986</v>
      </c>
      <c r="W59" s="16"/>
      <c r="X59" s="16"/>
      <c r="Y59" s="19"/>
      <c r="Z59" s="19"/>
      <c r="AA59" s="612"/>
      <c r="AB59" s="612"/>
      <c r="AC59" s="136"/>
      <c r="AD59" s="18"/>
      <c r="AE59" s="14">
        <f t="shared" si="8"/>
        <v>-75.068493150684617</v>
      </c>
      <c r="AF59" s="241">
        <f t="shared" si="9"/>
        <v>0.96246575342465768</v>
      </c>
      <c r="AG59" s="616"/>
    </row>
    <row r="60" spans="1:33" ht="15.75" customHeight="1">
      <c r="A60" s="621" t="s">
        <v>1231</v>
      </c>
      <c r="B60" s="27" t="s">
        <v>8</v>
      </c>
      <c r="C60" s="246" t="s">
        <v>61</v>
      </c>
      <c r="D60" s="247"/>
      <c r="E60" s="27">
        <v>46</v>
      </c>
      <c r="F60" s="30">
        <v>2544</v>
      </c>
      <c r="G60" s="242">
        <f t="shared" si="35"/>
        <v>117024</v>
      </c>
      <c r="H60" s="31" t="s">
        <v>40</v>
      </c>
      <c r="I60" s="250">
        <v>16</v>
      </c>
      <c r="J60" s="29">
        <v>2000</v>
      </c>
      <c r="K60" s="12">
        <f t="shared" si="1"/>
        <v>125</v>
      </c>
      <c r="L60" s="250">
        <v>16</v>
      </c>
      <c r="M60" s="13">
        <f t="shared" si="39"/>
        <v>1907.9999999999993</v>
      </c>
      <c r="N60" s="13">
        <f t="shared" si="3"/>
        <v>119.24999999999996</v>
      </c>
      <c r="O60" s="14">
        <f t="shared" si="4"/>
        <v>0</v>
      </c>
      <c r="P60" s="15">
        <f t="shared" si="5"/>
        <v>-5.7500000000000426</v>
      </c>
      <c r="Q60" s="241">
        <f t="shared" si="6"/>
        <v>0.95399999999999963</v>
      </c>
      <c r="R60" s="616"/>
      <c r="S60" s="32">
        <v>0.36111111111111105</v>
      </c>
      <c r="T60" s="32">
        <v>0.41666666666666663</v>
      </c>
      <c r="U60" s="242">
        <f t="shared" si="38"/>
        <v>6.9999999999999751</v>
      </c>
      <c r="V60" s="251">
        <f t="shared" si="37"/>
        <v>80.000000000000028</v>
      </c>
      <c r="W60" s="16"/>
      <c r="X60" s="16"/>
      <c r="Y60" s="19"/>
      <c r="Z60" s="19"/>
      <c r="AA60" s="612"/>
      <c r="AB60" s="612"/>
      <c r="AC60" s="136"/>
      <c r="AD60" s="18"/>
      <c r="AE60" s="14">
        <f t="shared" si="8"/>
        <v>-92.000000000000682</v>
      </c>
      <c r="AF60" s="241">
        <f t="shared" si="9"/>
        <v>0.95399999999999963</v>
      </c>
      <c r="AG60" s="616"/>
    </row>
    <row r="61" spans="1:33" ht="15.75" customHeight="1">
      <c r="A61" s="621" t="s">
        <v>1231</v>
      </c>
      <c r="B61" s="27" t="s">
        <v>8</v>
      </c>
      <c r="C61" s="246" t="s">
        <v>79</v>
      </c>
      <c r="D61" s="247"/>
      <c r="E61" s="27">
        <v>46</v>
      </c>
      <c r="F61" s="30">
        <v>2963</v>
      </c>
      <c r="G61" s="242">
        <f t="shared" si="35"/>
        <v>136298</v>
      </c>
      <c r="H61" s="31" t="s">
        <v>40</v>
      </c>
      <c r="I61" s="250">
        <v>17</v>
      </c>
      <c r="J61" s="29">
        <v>2000</v>
      </c>
      <c r="K61" s="12">
        <f t="shared" si="1"/>
        <v>117.64705882352941</v>
      </c>
      <c r="L61" s="250">
        <v>17</v>
      </c>
      <c r="M61" s="13">
        <f t="shared" si="39"/>
        <v>1911.6129032258068</v>
      </c>
      <c r="N61" s="13">
        <f t="shared" si="3"/>
        <v>112.44781783681216</v>
      </c>
      <c r="O61" s="14">
        <f t="shared" si="4"/>
        <v>0</v>
      </c>
      <c r="P61" s="15">
        <f t="shared" si="5"/>
        <v>-5.1992409867172427</v>
      </c>
      <c r="Q61" s="241">
        <f t="shared" si="6"/>
        <v>0.95580645161290345</v>
      </c>
      <c r="R61" s="616"/>
      <c r="S61" s="32">
        <v>0.42152777777777772</v>
      </c>
      <c r="T61" s="32">
        <v>0.48611111111111105</v>
      </c>
      <c r="U61" s="242">
        <f t="shared" si="38"/>
        <v>6.9999999999999751</v>
      </c>
      <c r="V61" s="251">
        <f t="shared" si="37"/>
        <v>92.999999999999986</v>
      </c>
      <c r="W61" s="16"/>
      <c r="X61" s="16"/>
      <c r="Y61" s="19"/>
      <c r="Z61" s="19"/>
      <c r="AA61" s="612"/>
      <c r="AB61" s="612"/>
      <c r="AC61" s="136"/>
      <c r="AD61" s="18"/>
      <c r="AE61" s="14">
        <f t="shared" si="8"/>
        <v>-88.387096774193196</v>
      </c>
      <c r="AF61" s="241">
        <f t="shared" si="9"/>
        <v>0.95580645161290345</v>
      </c>
      <c r="AG61" s="616"/>
    </row>
    <row r="62" spans="1:33" ht="15.75" customHeight="1">
      <c r="A62" s="621" t="s">
        <v>1231</v>
      </c>
      <c r="B62" s="27" t="s">
        <v>5</v>
      </c>
      <c r="C62" s="605" t="s">
        <v>77</v>
      </c>
      <c r="D62" s="606"/>
      <c r="E62" s="27">
        <v>54.09</v>
      </c>
      <c r="F62" s="30">
        <v>1664</v>
      </c>
      <c r="G62" s="242">
        <f t="shared" si="35"/>
        <v>90005.760000000009</v>
      </c>
      <c r="H62" s="31" t="s">
        <v>40</v>
      </c>
      <c r="I62" s="250">
        <v>13</v>
      </c>
      <c r="J62" s="29">
        <v>2000</v>
      </c>
      <c r="K62" s="12">
        <f t="shared" si="1"/>
        <v>153.84615384615384</v>
      </c>
      <c r="L62" s="250">
        <v>13</v>
      </c>
      <c r="M62" s="13">
        <f t="shared" si="39"/>
        <v>1920.0000000000009</v>
      </c>
      <c r="N62" s="13">
        <f t="shared" si="3"/>
        <v>147.69230769230776</v>
      </c>
      <c r="O62" s="14">
        <f t="shared" si="4"/>
        <v>0</v>
      </c>
      <c r="P62" s="15">
        <f t="shared" si="5"/>
        <v>-6.1538461538460751</v>
      </c>
      <c r="Q62" s="241">
        <f t="shared" si="6"/>
        <v>0.96000000000000052</v>
      </c>
      <c r="R62" s="616"/>
      <c r="S62" s="32">
        <v>0.70833333333333337</v>
      </c>
      <c r="T62" s="32">
        <v>0.74444444444444446</v>
      </c>
      <c r="U62" s="242" t="str">
        <f t="shared" si="38"/>
        <v/>
      </c>
      <c r="V62" s="251">
        <f t="shared" si="37"/>
        <v>51.999999999999972</v>
      </c>
      <c r="W62" s="16"/>
      <c r="X62" s="16"/>
      <c r="Y62" s="19"/>
      <c r="Z62" s="19"/>
      <c r="AA62" s="607"/>
      <c r="AB62" s="608"/>
      <c r="AC62" s="136"/>
      <c r="AD62" s="18"/>
      <c r="AE62" s="14">
        <f t="shared" si="8"/>
        <v>-79.999999999999091</v>
      </c>
      <c r="AF62" s="241">
        <f t="shared" si="9"/>
        <v>0.96000000000000041</v>
      </c>
      <c r="AG62" s="616"/>
    </row>
    <row r="63" spans="1:33" ht="15.75" customHeight="1">
      <c r="A63" s="621" t="s">
        <v>1231</v>
      </c>
      <c r="B63" s="27" t="s">
        <v>5</v>
      </c>
      <c r="C63" s="605" t="s">
        <v>62</v>
      </c>
      <c r="D63" s="606"/>
      <c r="E63" s="27">
        <v>51.06</v>
      </c>
      <c r="F63" s="30">
        <v>4066</v>
      </c>
      <c r="G63" s="242">
        <f t="shared" si="35"/>
        <v>207609.96000000002</v>
      </c>
      <c r="H63" s="31" t="s">
        <v>40</v>
      </c>
      <c r="I63" s="250">
        <v>13</v>
      </c>
      <c r="J63" s="29">
        <v>2000</v>
      </c>
      <c r="K63" s="12">
        <f t="shared" si="1"/>
        <v>153.84615384615384</v>
      </c>
      <c r="L63" s="250">
        <v>13</v>
      </c>
      <c r="M63" s="13">
        <f t="shared" si="39"/>
        <v>1905.9374999999995</v>
      </c>
      <c r="N63" s="13">
        <f t="shared" si="3"/>
        <v>146.61057692307688</v>
      </c>
      <c r="O63" s="14">
        <f t="shared" si="4"/>
        <v>0</v>
      </c>
      <c r="P63" s="15">
        <f t="shared" si="5"/>
        <v>-7.2355769230769624</v>
      </c>
      <c r="Q63" s="241">
        <f t="shared" si="6"/>
        <v>0.9529687499999997</v>
      </c>
      <c r="R63" s="616"/>
      <c r="S63" s="32">
        <v>0.74791666666666667</v>
      </c>
      <c r="T63" s="32">
        <v>0.83680555555555558</v>
      </c>
      <c r="U63" s="242">
        <f t="shared" si="38"/>
        <v>4.9999999999999822</v>
      </c>
      <c r="V63" s="251">
        <f t="shared" si="37"/>
        <v>128.00000000000003</v>
      </c>
      <c r="W63" s="16"/>
      <c r="X63" s="16"/>
      <c r="Y63" s="19"/>
      <c r="Z63" s="19"/>
      <c r="AA63" s="607"/>
      <c r="AB63" s="608"/>
      <c r="AC63" s="136"/>
      <c r="AD63" s="18"/>
      <c r="AE63" s="14">
        <f t="shared" si="8"/>
        <v>-94.062500000000455</v>
      </c>
      <c r="AF63" s="241">
        <f t="shared" si="9"/>
        <v>0.95296874999999981</v>
      </c>
      <c r="AG63" s="616"/>
    </row>
    <row r="64" spans="1:33">
      <c r="A64" s="622" t="s">
        <v>1231</v>
      </c>
      <c r="B64" s="27" t="s">
        <v>1229</v>
      </c>
      <c r="C64" s="658"/>
      <c r="D64" s="658"/>
      <c r="E64" s="243"/>
      <c r="F64" s="28"/>
      <c r="G64" s="12"/>
      <c r="H64" s="253"/>
      <c r="I64" s="21">
        <v>17.857142857142858</v>
      </c>
      <c r="J64" s="29">
        <v>2000</v>
      </c>
      <c r="K64" s="12">
        <f t="shared" si="1"/>
        <v>112</v>
      </c>
      <c r="L64" s="21">
        <v>17.857142857142858</v>
      </c>
      <c r="M64" s="13">
        <f>AVERAGE(M57:M63)</f>
        <v>1916.9394325317403</v>
      </c>
      <c r="N64" s="12">
        <f t="shared" si="3"/>
        <v>107.34860822177745</v>
      </c>
      <c r="O64" s="14">
        <f t="shared" si="4"/>
        <v>0</v>
      </c>
      <c r="P64" s="15">
        <f t="shared" si="5"/>
        <v>-4.6513917782225462</v>
      </c>
      <c r="Q64" s="241">
        <f t="shared" si="6"/>
        <v>0.95846971626587008</v>
      </c>
      <c r="R64" s="616"/>
      <c r="S64" s="32"/>
      <c r="T64" s="32"/>
      <c r="U64" s="242"/>
      <c r="V64" s="251"/>
      <c r="W64" s="12"/>
      <c r="X64" s="12"/>
      <c r="Y64" s="22">
        <f>SUM(Y57:Y63)</f>
        <v>0</v>
      </c>
      <c r="Z64" s="22">
        <f>SUM(Z57:Z63)</f>
        <v>0</v>
      </c>
      <c r="AA64" s="611"/>
      <c r="AB64" s="611"/>
      <c r="AC64" s="22">
        <v>7</v>
      </c>
      <c r="AD64" s="22">
        <f>SUM(AD57:AD63)</f>
        <v>0</v>
      </c>
      <c r="AE64" s="14">
        <f>M64-J64</f>
        <v>-83.060567468259705</v>
      </c>
      <c r="AF64" s="241">
        <f t="shared" si="9"/>
        <v>0.95846971626587019</v>
      </c>
      <c r="AG64" s="616"/>
    </row>
    <row r="65" spans="1:33" ht="15.75" customHeight="1">
      <c r="A65" s="617" t="s">
        <v>1232</v>
      </c>
      <c r="B65" s="253" t="s">
        <v>27</v>
      </c>
      <c r="C65" s="660" t="s">
        <v>28</v>
      </c>
      <c r="D65" s="660"/>
      <c r="E65" s="27">
        <v>35.119999999999997</v>
      </c>
      <c r="F65" s="30">
        <v>5236</v>
      </c>
      <c r="G65" s="242">
        <f t="shared" ref="G65:G68" si="40">E65*F65</f>
        <v>183888.31999999998</v>
      </c>
      <c r="H65" s="31" t="s">
        <v>40</v>
      </c>
      <c r="I65" s="250">
        <v>10</v>
      </c>
      <c r="J65" s="29">
        <v>3000</v>
      </c>
      <c r="K65" s="12">
        <f t="shared" si="1"/>
        <v>300</v>
      </c>
      <c r="L65" s="250">
        <v>10</v>
      </c>
      <c r="M65" s="13">
        <f t="shared" ref="M65:M68" si="41">F65/V65*60</f>
        <v>2856.0000000000009</v>
      </c>
      <c r="N65" s="12">
        <f t="shared" si="3"/>
        <v>285.60000000000008</v>
      </c>
      <c r="O65" s="14">
        <f t="shared" si="4"/>
        <v>0</v>
      </c>
      <c r="P65" s="15">
        <f t="shared" si="5"/>
        <v>-14.39999999999992</v>
      </c>
      <c r="Q65" s="241">
        <f t="shared" si="6"/>
        <v>0.95200000000000029</v>
      </c>
      <c r="R65" s="616">
        <f>Q69</f>
        <v>0.96097123015873054</v>
      </c>
      <c r="S65" s="32">
        <v>0.20833333333333334</v>
      </c>
      <c r="T65" s="32">
        <v>0.28472222222222221</v>
      </c>
      <c r="U65" s="242"/>
      <c r="V65" s="251">
        <f t="shared" ref="V65:V68" si="42">(T65-S65)*24*60</f>
        <v>109.99999999999997</v>
      </c>
      <c r="W65" s="16"/>
      <c r="X65" s="16"/>
      <c r="Y65" s="20"/>
      <c r="Z65" s="20"/>
      <c r="AA65" s="612"/>
      <c r="AB65" s="612"/>
      <c r="AC65" s="136">
        <v>4</v>
      </c>
      <c r="AD65" s="18"/>
      <c r="AE65" s="14">
        <f t="shared" ref="AE65:AE78" si="43">M65-J65</f>
        <v>-143.99999999999909</v>
      </c>
      <c r="AF65" s="241">
        <f t="shared" si="9"/>
        <v>0.95200000000000029</v>
      </c>
      <c r="AG65" s="616">
        <f>AF69</f>
        <v>0.96097123015873054</v>
      </c>
    </row>
    <row r="66" spans="1:33" ht="15.75" customHeight="1">
      <c r="A66" s="617" t="s">
        <v>1232</v>
      </c>
      <c r="B66" s="253" t="s">
        <v>27</v>
      </c>
      <c r="C66" s="660" t="s">
        <v>34</v>
      </c>
      <c r="D66" s="660"/>
      <c r="E66" s="27">
        <v>26.78</v>
      </c>
      <c r="F66" s="30">
        <v>2580</v>
      </c>
      <c r="G66" s="242">
        <f t="shared" si="40"/>
        <v>69092.400000000009</v>
      </c>
      <c r="H66" s="31" t="s">
        <v>40</v>
      </c>
      <c r="I66" s="250">
        <v>10</v>
      </c>
      <c r="J66" s="29">
        <v>3000</v>
      </c>
      <c r="K66" s="12">
        <f t="shared" si="1"/>
        <v>300</v>
      </c>
      <c r="L66" s="250">
        <v>10</v>
      </c>
      <c r="M66" s="13">
        <f t="shared" si="41"/>
        <v>2866.6666666666679</v>
      </c>
      <c r="N66" s="12">
        <f t="shared" si="3"/>
        <v>286.6666666666668</v>
      </c>
      <c r="O66" s="14">
        <f t="shared" si="4"/>
        <v>0</v>
      </c>
      <c r="P66" s="15">
        <f t="shared" si="5"/>
        <v>-13.333333333333201</v>
      </c>
      <c r="Q66" s="241">
        <f t="shared" si="6"/>
        <v>0.95555555555555605</v>
      </c>
      <c r="R66" s="616"/>
      <c r="S66" s="32">
        <v>0.28888888888888886</v>
      </c>
      <c r="T66" s="32">
        <v>0.32638888888888884</v>
      </c>
      <c r="U66" s="242">
        <f t="shared" ref="U66:U68" si="44">(S66-T65)*24*60</f>
        <v>5.9999999999999787</v>
      </c>
      <c r="V66" s="251">
        <f t="shared" si="42"/>
        <v>53.999999999999972</v>
      </c>
      <c r="W66" s="242"/>
      <c r="X66" s="242"/>
      <c r="Y66" s="242"/>
      <c r="Z66" s="242"/>
      <c r="AA66" s="612"/>
      <c r="AB66" s="612"/>
      <c r="AC66" s="136"/>
      <c r="AD66" s="18"/>
      <c r="AE66" s="14">
        <f t="shared" si="43"/>
        <v>-133.33333333333212</v>
      </c>
      <c r="AF66" s="241">
        <f t="shared" si="9"/>
        <v>0.95555555555555594</v>
      </c>
      <c r="AG66" s="616"/>
    </row>
    <row r="67" spans="1:33" ht="15.75" customHeight="1">
      <c r="A67" s="617" t="s">
        <v>1232</v>
      </c>
      <c r="B67" s="253" t="s">
        <v>27</v>
      </c>
      <c r="C67" s="660" t="s">
        <v>36</v>
      </c>
      <c r="D67" s="660"/>
      <c r="E67" s="27">
        <v>34.35</v>
      </c>
      <c r="F67" s="30">
        <v>1326</v>
      </c>
      <c r="G67" s="242">
        <f t="shared" si="40"/>
        <v>45548.1</v>
      </c>
      <c r="H67" s="31" t="s">
        <v>40</v>
      </c>
      <c r="I67" s="250">
        <v>8</v>
      </c>
      <c r="J67" s="29">
        <v>3000</v>
      </c>
      <c r="K67" s="12">
        <f t="shared" si="1"/>
        <v>375</v>
      </c>
      <c r="L67" s="250">
        <v>8</v>
      </c>
      <c r="M67" s="13">
        <f t="shared" si="41"/>
        <v>2946.6666666666683</v>
      </c>
      <c r="N67" s="12">
        <f t="shared" si="3"/>
        <v>368.33333333333354</v>
      </c>
      <c r="O67" s="14">
        <f t="shared" si="4"/>
        <v>0</v>
      </c>
      <c r="P67" s="15">
        <f t="shared" si="5"/>
        <v>-6.6666666666664582</v>
      </c>
      <c r="Q67" s="241">
        <f t="shared" si="6"/>
        <v>0.98222222222222277</v>
      </c>
      <c r="R67" s="616"/>
      <c r="S67" s="32">
        <v>0.32986111111111105</v>
      </c>
      <c r="T67" s="32">
        <v>0.34861111111111104</v>
      </c>
      <c r="U67" s="242">
        <f t="shared" si="44"/>
        <v>4.9999999999999822</v>
      </c>
      <c r="V67" s="251">
        <f t="shared" si="42"/>
        <v>26.999999999999986</v>
      </c>
      <c r="W67" s="242"/>
      <c r="X67" s="242"/>
      <c r="Y67" s="242"/>
      <c r="Z67" s="242"/>
      <c r="AA67" s="612"/>
      <c r="AB67" s="612"/>
      <c r="AC67" s="136"/>
      <c r="AD67" s="18"/>
      <c r="AE67" s="14">
        <f t="shared" si="43"/>
        <v>-53.333333333331666</v>
      </c>
      <c r="AF67" s="241">
        <f t="shared" si="9"/>
        <v>0.98222222222222277</v>
      </c>
      <c r="AG67" s="616"/>
    </row>
    <row r="68" spans="1:33" ht="15.75" customHeight="1">
      <c r="A68" s="617" t="s">
        <v>1232</v>
      </c>
      <c r="B68" s="253" t="s">
        <v>27</v>
      </c>
      <c r="C68" s="660" t="s">
        <v>737</v>
      </c>
      <c r="D68" s="660"/>
      <c r="E68" s="27">
        <v>36.14</v>
      </c>
      <c r="F68" s="30">
        <v>5343</v>
      </c>
      <c r="G68" s="242">
        <f t="shared" si="40"/>
        <v>193096.02</v>
      </c>
      <c r="H68" s="31" t="s">
        <v>40</v>
      </c>
      <c r="I68" s="250">
        <v>11</v>
      </c>
      <c r="J68" s="29">
        <v>3000</v>
      </c>
      <c r="K68" s="12">
        <f t="shared" si="1"/>
        <v>272.72727272727275</v>
      </c>
      <c r="L68" s="250">
        <v>11</v>
      </c>
      <c r="M68" s="13">
        <f t="shared" si="41"/>
        <v>2862.3214285714289</v>
      </c>
      <c r="N68" s="12">
        <f t="shared" si="3"/>
        <v>260.21103896103898</v>
      </c>
      <c r="O68" s="14">
        <f t="shared" si="4"/>
        <v>0</v>
      </c>
      <c r="P68" s="15">
        <f t="shared" si="5"/>
        <v>-12.516233766233768</v>
      </c>
      <c r="Q68" s="241">
        <f t="shared" si="6"/>
        <v>0.95410714285714282</v>
      </c>
      <c r="R68" s="616"/>
      <c r="S68" s="32">
        <v>0.35208333333333325</v>
      </c>
      <c r="T68" s="32">
        <v>0.42986111111111103</v>
      </c>
      <c r="U68" s="242">
        <f t="shared" si="44"/>
        <v>4.9999999999999822</v>
      </c>
      <c r="V68" s="251">
        <f t="shared" si="42"/>
        <v>112</v>
      </c>
      <c r="W68" s="242"/>
      <c r="X68" s="242"/>
      <c r="Y68" s="242"/>
      <c r="Z68" s="242"/>
      <c r="AA68" s="612"/>
      <c r="AB68" s="612"/>
      <c r="AC68" s="136"/>
      <c r="AD68" s="18"/>
      <c r="AE68" s="14">
        <f t="shared" si="43"/>
        <v>-137.6785714285711</v>
      </c>
      <c r="AF68" s="241">
        <f t="shared" si="9"/>
        <v>0.95410714285714293</v>
      </c>
      <c r="AG68" s="616"/>
    </row>
    <row r="69" spans="1:33">
      <c r="A69" s="618" t="s">
        <v>1232</v>
      </c>
      <c r="B69" s="27" t="s">
        <v>1229</v>
      </c>
      <c r="C69" s="658"/>
      <c r="D69" s="658"/>
      <c r="E69" s="243"/>
      <c r="F69" s="28"/>
      <c r="G69" s="12"/>
      <c r="H69" s="253"/>
      <c r="I69" s="21">
        <v>9.75</v>
      </c>
      <c r="J69" s="29">
        <v>3000</v>
      </c>
      <c r="K69" s="12">
        <f t="shared" ref="K69:K78" si="45">J69/I69</f>
        <v>307.69230769230768</v>
      </c>
      <c r="L69" s="21">
        <v>9.75</v>
      </c>
      <c r="M69" s="13">
        <f>AVERAGE(M65:M68)</f>
        <v>2882.9136904761917</v>
      </c>
      <c r="N69" s="12">
        <f t="shared" ref="N69:N78" si="46">M69/L69</f>
        <v>295.68345543345555</v>
      </c>
      <c r="O69" s="14">
        <f t="shared" ref="O69:O78" si="47">L69-I69</f>
        <v>0</v>
      </c>
      <c r="P69" s="15">
        <f t="shared" ref="P69:P78" si="48">N69-K69</f>
        <v>-12.00885225885213</v>
      </c>
      <c r="Q69" s="241">
        <f t="shared" ref="Q69:Q78" si="49">N69/K69</f>
        <v>0.96097123015873054</v>
      </c>
      <c r="R69" s="616"/>
      <c r="S69" s="32"/>
      <c r="T69" s="32"/>
      <c r="U69" s="12"/>
      <c r="V69" s="251"/>
      <c r="W69" s="12"/>
      <c r="X69" s="12"/>
      <c r="Y69" s="22">
        <f>SUM(Y65:Y68)</f>
        <v>0</v>
      </c>
      <c r="Z69" s="22">
        <f>SUM(Z65:Z68)</f>
        <v>0</v>
      </c>
      <c r="AA69" s="611"/>
      <c r="AB69" s="611"/>
      <c r="AC69" s="22">
        <v>4</v>
      </c>
      <c r="AD69" s="22">
        <f>SUM(AD65:AD68)</f>
        <v>0</v>
      </c>
      <c r="AE69" s="14">
        <f t="shared" si="43"/>
        <v>-117.08630952380827</v>
      </c>
      <c r="AF69" s="241">
        <f t="shared" ref="AF69:AF78" si="50">M69/J69</f>
        <v>0.96097123015873054</v>
      </c>
      <c r="AG69" s="616"/>
    </row>
    <row r="70" spans="1:33" ht="15.75" customHeight="1">
      <c r="A70" s="613" t="s">
        <v>1233</v>
      </c>
      <c r="B70" s="253" t="s">
        <v>20</v>
      </c>
      <c r="C70" s="660" t="s">
        <v>39</v>
      </c>
      <c r="D70" s="660"/>
      <c r="E70" s="27">
        <v>19.02</v>
      </c>
      <c r="F70" s="253">
        <v>6100</v>
      </c>
      <c r="G70" s="242">
        <f t="shared" ref="G70:G77" si="51">E70*F70</f>
        <v>116022</v>
      </c>
      <c r="H70" s="31">
        <v>2</v>
      </c>
      <c r="I70" s="250">
        <v>14</v>
      </c>
      <c r="J70" s="29">
        <v>2400</v>
      </c>
      <c r="K70" s="12">
        <f t="shared" si="45"/>
        <v>171.42857142857142</v>
      </c>
      <c r="L70" s="250">
        <v>14</v>
      </c>
      <c r="M70" s="13">
        <f t="shared" ref="M70:M77" si="52">F70/V70*60</f>
        <v>2287.5000000000005</v>
      </c>
      <c r="N70" s="12">
        <f t="shared" si="46"/>
        <v>163.39285714285717</v>
      </c>
      <c r="O70" s="14">
        <f t="shared" si="47"/>
        <v>0</v>
      </c>
      <c r="P70" s="15">
        <f t="shared" si="48"/>
        <v>-8.0357142857142492</v>
      </c>
      <c r="Q70" s="241">
        <f t="shared" si="49"/>
        <v>0.95312500000000022</v>
      </c>
      <c r="R70" s="616">
        <f>Q78</f>
        <v>0.95613106977629436</v>
      </c>
      <c r="S70" s="32">
        <v>8.3333333333333329E-2</v>
      </c>
      <c r="T70" s="32">
        <v>0.19444444444444442</v>
      </c>
      <c r="U70" s="20"/>
      <c r="V70" s="251">
        <f t="shared" ref="V70:V77" si="53">(T70-S70)*24*60</f>
        <v>159.99999999999997</v>
      </c>
      <c r="W70" s="16">
        <f>T70</f>
        <v>0.19444444444444442</v>
      </c>
      <c r="X70" s="16">
        <f>S71</f>
        <v>0.21527777777777776</v>
      </c>
      <c r="Y70" s="16"/>
      <c r="Z70" s="16"/>
      <c r="AA70" s="612"/>
      <c r="AB70" s="612"/>
      <c r="AC70" s="136">
        <v>8</v>
      </c>
      <c r="AD70" s="18"/>
      <c r="AE70" s="14">
        <f t="shared" si="43"/>
        <v>-112.49999999999955</v>
      </c>
      <c r="AF70" s="241">
        <f t="shared" si="50"/>
        <v>0.95312500000000022</v>
      </c>
      <c r="AG70" s="616">
        <f>AF78</f>
        <v>0.95613106977629436</v>
      </c>
    </row>
    <row r="71" spans="1:33" ht="15.75" customHeight="1">
      <c r="A71" s="614" t="s">
        <v>1233</v>
      </c>
      <c r="B71" s="253" t="s">
        <v>20</v>
      </c>
      <c r="C71" s="660" t="s">
        <v>24</v>
      </c>
      <c r="D71" s="660"/>
      <c r="E71" s="27">
        <v>20.36</v>
      </c>
      <c r="F71" s="253">
        <v>2600</v>
      </c>
      <c r="G71" s="242">
        <f t="shared" si="51"/>
        <v>52936</v>
      </c>
      <c r="H71" s="31">
        <v>2</v>
      </c>
      <c r="I71" s="250">
        <v>17</v>
      </c>
      <c r="J71" s="29">
        <v>2400</v>
      </c>
      <c r="K71" s="12">
        <f t="shared" si="45"/>
        <v>141.1764705882353</v>
      </c>
      <c r="L71" s="250">
        <v>17</v>
      </c>
      <c r="M71" s="13">
        <f t="shared" si="52"/>
        <v>2294.1176470588248</v>
      </c>
      <c r="N71" s="12">
        <f t="shared" si="46"/>
        <v>134.94809688581321</v>
      </c>
      <c r="O71" s="14">
        <f t="shared" si="47"/>
        <v>0</v>
      </c>
      <c r="P71" s="15">
        <f t="shared" si="48"/>
        <v>-6.2283737024220898</v>
      </c>
      <c r="Q71" s="241">
        <f t="shared" si="49"/>
        <v>0.95588235294117685</v>
      </c>
      <c r="R71" s="616"/>
      <c r="S71" s="32">
        <v>0.21527777777777776</v>
      </c>
      <c r="T71" s="32">
        <v>0.26249999999999996</v>
      </c>
      <c r="U71" s="242">
        <f t="shared" ref="U71:U77" si="54">(S71-T70)*24*60</f>
        <v>30.000000000000014</v>
      </c>
      <c r="V71" s="251">
        <f t="shared" si="53"/>
        <v>67.999999999999957</v>
      </c>
      <c r="W71" s="16"/>
      <c r="X71" s="16"/>
      <c r="Y71" s="16"/>
      <c r="Z71" s="16"/>
      <c r="AA71" s="612"/>
      <c r="AB71" s="612"/>
      <c r="AC71" s="136"/>
      <c r="AD71" s="18"/>
      <c r="AE71" s="14">
        <f t="shared" si="43"/>
        <v>-105.88235294117521</v>
      </c>
      <c r="AF71" s="241">
        <f t="shared" si="50"/>
        <v>0.95588235294117696</v>
      </c>
      <c r="AG71" s="616"/>
    </row>
    <row r="72" spans="1:33" ht="15.75" customHeight="1">
      <c r="A72" s="614" t="s">
        <v>1233</v>
      </c>
      <c r="B72" s="253" t="s">
        <v>20</v>
      </c>
      <c r="C72" s="660" t="s">
        <v>38</v>
      </c>
      <c r="D72" s="660"/>
      <c r="E72" s="27">
        <v>22.69</v>
      </c>
      <c r="F72" s="253">
        <v>2692</v>
      </c>
      <c r="G72" s="242">
        <f t="shared" si="51"/>
        <v>61081.48</v>
      </c>
      <c r="H72" s="31" t="s">
        <v>40</v>
      </c>
      <c r="I72" s="250">
        <v>15</v>
      </c>
      <c r="J72" s="29">
        <v>2400</v>
      </c>
      <c r="K72" s="12">
        <f t="shared" si="45"/>
        <v>160</v>
      </c>
      <c r="L72" s="250">
        <v>15</v>
      </c>
      <c r="M72" s="13">
        <f t="shared" si="52"/>
        <v>2307.4285714285716</v>
      </c>
      <c r="N72" s="12">
        <f t="shared" si="46"/>
        <v>153.82857142857145</v>
      </c>
      <c r="O72" s="14">
        <f t="shared" si="47"/>
        <v>0</v>
      </c>
      <c r="P72" s="15">
        <f t="shared" si="48"/>
        <v>-6.1714285714285495</v>
      </c>
      <c r="Q72" s="241">
        <f t="shared" si="49"/>
        <v>0.96142857142857152</v>
      </c>
      <c r="R72" s="616"/>
      <c r="S72" s="32">
        <v>0.26666666666666661</v>
      </c>
      <c r="T72" s="32">
        <v>0.31527777777777771</v>
      </c>
      <c r="U72" s="242">
        <f t="shared" si="54"/>
        <v>5.9999999999999787</v>
      </c>
      <c r="V72" s="251">
        <f t="shared" si="53"/>
        <v>69.999999999999986</v>
      </c>
      <c r="W72" s="16"/>
      <c r="X72" s="16"/>
      <c r="Y72" s="16"/>
      <c r="Z72" s="16"/>
      <c r="AA72" s="612"/>
      <c r="AB72" s="612"/>
      <c r="AC72" s="136"/>
      <c r="AD72" s="18"/>
      <c r="AE72" s="14">
        <f t="shared" si="43"/>
        <v>-92.571428571428442</v>
      </c>
      <c r="AF72" s="241">
        <f t="shared" si="50"/>
        <v>0.96142857142857152</v>
      </c>
      <c r="AG72" s="616"/>
    </row>
    <row r="73" spans="1:33" ht="15.75" customHeight="1">
      <c r="A73" s="614" t="s">
        <v>1233</v>
      </c>
      <c r="B73" s="253" t="s">
        <v>20</v>
      </c>
      <c r="C73" s="660" t="s">
        <v>80</v>
      </c>
      <c r="D73" s="660"/>
      <c r="E73" s="27">
        <v>25.98</v>
      </c>
      <c r="F73" s="253">
        <v>4268</v>
      </c>
      <c r="G73" s="242">
        <f t="shared" si="51"/>
        <v>110882.64</v>
      </c>
      <c r="H73" s="31" t="s">
        <v>40</v>
      </c>
      <c r="I73" s="250">
        <v>17</v>
      </c>
      <c r="J73" s="29">
        <v>2400</v>
      </c>
      <c r="K73" s="12">
        <f t="shared" si="45"/>
        <v>141.1764705882353</v>
      </c>
      <c r="L73" s="250">
        <v>17</v>
      </c>
      <c r="M73" s="13">
        <f t="shared" si="52"/>
        <v>2286.4285714285711</v>
      </c>
      <c r="N73" s="12">
        <f t="shared" si="46"/>
        <v>134.49579831932772</v>
      </c>
      <c r="O73" s="14">
        <f t="shared" si="47"/>
        <v>0</v>
      </c>
      <c r="P73" s="15">
        <f t="shared" si="48"/>
        <v>-6.6806722689075855</v>
      </c>
      <c r="Q73" s="241">
        <f t="shared" si="49"/>
        <v>0.95267857142857126</v>
      </c>
      <c r="R73" s="616"/>
      <c r="S73" s="32">
        <v>0.32083333333333325</v>
      </c>
      <c r="T73" s="32">
        <v>0.39861111111111103</v>
      </c>
      <c r="U73" s="242">
        <f t="shared" si="54"/>
        <v>7.9999999999999716</v>
      </c>
      <c r="V73" s="251">
        <f t="shared" si="53"/>
        <v>112</v>
      </c>
      <c r="W73" s="16"/>
      <c r="X73" s="16"/>
      <c r="Y73" s="16"/>
      <c r="Z73" s="16"/>
      <c r="AA73" s="612"/>
      <c r="AB73" s="612"/>
      <c r="AC73" s="136"/>
      <c r="AD73" s="18"/>
      <c r="AE73" s="14">
        <f t="shared" si="43"/>
        <v>-113.5714285714289</v>
      </c>
      <c r="AF73" s="241">
        <f t="shared" si="50"/>
        <v>0.95267857142857126</v>
      </c>
      <c r="AG73" s="616"/>
    </row>
    <row r="74" spans="1:33" ht="15.75" customHeight="1">
      <c r="A74" s="614" t="s">
        <v>1233</v>
      </c>
      <c r="B74" s="253" t="s">
        <v>20</v>
      </c>
      <c r="C74" s="660" t="s">
        <v>739</v>
      </c>
      <c r="D74" s="660"/>
      <c r="E74" s="27">
        <v>28.29</v>
      </c>
      <c r="F74" s="253">
        <v>4600</v>
      </c>
      <c r="G74" s="242">
        <f t="shared" si="51"/>
        <v>130134</v>
      </c>
      <c r="H74" s="31">
        <v>2</v>
      </c>
      <c r="I74" s="250">
        <v>21</v>
      </c>
      <c r="J74" s="29">
        <v>2400</v>
      </c>
      <c r="K74" s="12">
        <f t="shared" si="45"/>
        <v>114.28571428571429</v>
      </c>
      <c r="L74" s="250">
        <v>21</v>
      </c>
      <c r="M74" s="13">
        <f t="shared" si="52"/>
        <v>2300.0000000000005</v>
      </c>
      <c r="N74" s="12">
        <f t="shared" si="46"/>
        <v>109.52380952380955</v>
      </c>
      <c r="O74" s="14">
        <f t="shared" si="47"/>
        <v>0</v>
      </c>
      <c r="P74" s="15">
        <f t="shared" si="48"/>
        <v>-4.761904761904745</v>
      </c>
      <c r="Q74" s="241">
        <f t="shared" si="49"/>
        <v>0.95833333333333348</v>
      </c>
      <c r="R74" s="616"/>
      <c r="S74" s="32">
        <v>0.40208333333333324</v>
      </c>
      <c r="T74" s="32">
        <v>0.48541666666666655</v>
      </c>
      <c r="U74" s="242">
        <f t="shared" si="54"/>
        <v>4.9999999999999822</v>
      </c>
      <c r="V74" s="251">
        <f t="shared" si="53"/>
        <v>119.99999999999997</v>
      </c>
      <c r="W74" s="16">
        <f>T74</f>
        <v>0.48541666666666655</v>
      </c>
      <c r="X74" s="16">
        <f>S75</f>
        <v>0.52569444444444435</v>
      </c>
      <c r="Y74" s="16"/>
      <c r="Z74" s="16"/>
      <c r="AA74" s="612"/>
      <c r="AB74" s="612"/>
      <c r="AC74" s="136"/>
      <c r="AD74" s="18"/>
      <c r="AE74" s="14">
        <f t="shared" si="43"/>
        <v>-99.999999999999545</v>
      </c>
      <c r="AF74" s="241">
        <f t="shared" si="50"/>
        <v>0.95833333333333348</v>
      </c>
      <c r="AG74" s="616"/>
    </row>
    <row r="75" spans="1:33" ht="15.75" customHeight="1">
      <c r="A75" s="614" t="s">
        <v>1233</v>
      </c>
      <c r="B75" s="253" t="s">
        <v>20</v>
      </c>
      <c r="C75" s="660" t="s">
        <v>739</v>
      </c>
      <c r="D75" s="660"/>
      <c r="E75" s="27">
        <v>28.29</v>
      </c>
      <c r="F75" s="253">
        <v>3172</v>
      </c>
      <c r="G75" s="242">
        <f t="shared" si="51"/>
        <v>89735.87999999999</v>
      </c>
      <c r="H75" s="31" t="s">
        <v>40</v>
      </c>
      <c r="I75" s="250">
        <v>21</v>
      </c>
      <c r="J75" s="29">
        <v>2400</v>
      </c>
      <c r="K75" s="12">
        <f t="shared" si="45"/>
        <v>114.28571428571429</v>
      </c>
      <c r="L75" s="250">
        <v>21</v>
      </c>
      <c r="M75" s="13">
        <f t="shared" si="52"/>
        <v>2293.0120481927702</v>
      </c>
      <c r="N75" s="12">
        <f t="shared" si="46"/>
        <v>109.19104991394144</v>
      </c>
      <c r="O75" s="14">
        <f t="shared" si="47"/>
        <v>0</v>
      </c>
      <c r="P75" s="15">
        <f t="shared" si="48"/>
        <v>-5.0946643717728506</v>
      </c>
      <c r="Q75" s="241">
        <f t="shared" si="49"/>
        <v>0.95542168674698758</v>
      </c>
      <c r="R75" s="616"/>
      <c r="S75" s="32">
        <v>0.52569444444444435</v>
      </c>
      <c r="T75" s="32">
        <v>0.58333333333333326</v>
      </c>
      <c r="U75" s="242">
        <f t="shared" si="54"/>
        <v>58.000000000000036</v>
      </c>
      <c r="V75" s="251">
        <f t="shared" si="53"/>
        <v>83.000000000000028</v>
      </c>
      <c r="W75" s="16"/>
      <c r="X75" s="16"/>
      <c r="Y75" s="16"/>
      <c r="Z75" s="16"/>
      <c r="AA75" s="612"/>
      <c r="AB75" s="612"/>
      <c r="AC75" s="136"/>
      <c r="AD75" s="18"/>
      <c r="AE75" s="14">
        <f t="shared" si="43"/>
        <v>-106.98795180722982</v>
      </c>
      <c r="AF75" s="241">
        <f t="shared" si="50"/>
        <v>0.95542168674698758</v>
      </c>
      <c r="AG75" s="616"/>
    </row>
    <row r="76" spans="1:33" ht="15.75" customHeight="1">
      <c r="A76" s="614" t="s">
        <v>1233</v>
      </c>
      <c r="B76" s="253" t="s">
        <v>20</v>
      </c>
      <c r="C76" s="605" t="s">
        <v>24</v>
      </c>
      <c r="D76" s="606"/>
      <c r="E76" s="27">
        <v>20.36</v>
      </c>
      <c r="F76" s="253">
        <v>2100</v>
      </c>
      <c r="G76" s="242">
        <f t="shared" si="51"/>
        <v>42756</v>
      </c>
      <c r="H76" s="31" t="s">
        <v>40</v>
      </c>
      <c r="I76" s="250">
        <v>17</v>
      </c>
      <c r="J76" s="29">
        <v>2400</v>
      </c>
      <c r="K76" s="12">
        <f t="shared" si="45"/>
        <v>141.1764705882353</v>
      </c>
      <c r="L76" s="250">
        <v>17</v>
      </c>
      <c r="M76" s="13">
        <f t="shared" si="52"/>
        <v>2290.9090909090924</v>
      </c>
      <c r="N76" s="12">
        <f t="shared" si="46"/>
        <v>134.75935828877013</v>
      </c>
      <c r="O76" s="14">
        <f t="shared" si="47"/>
        <v>0</v>
      </c>
      <c r="P76" s="15">
        <f t="shared" si="48"/>
        <v>-6.4171122994651739</v>
      </c>
      <c r="Q76" s="241">
        <f t="shared" si="49"/>
        <v>0.95454545454545503</v>
      </c>
      <c r="R76" s="616"/>
      <c r="S76" s="32">
        <v>0.58819444444444435</v>
      </c>
      <c r="T76" s="32">
        <v>0.62638888888888877</v>
      </c>
      <c r="U76" s="242">
        <f t="shared" si="54"/>
        <v>6.9999999999999751</v>
      </c>
      <c r="V76" s="251">
        <f t="shared" si="53"/>
        <v>54.999999999999964</v>
      </c>
      <c r="W76" s="16"/>
      <c r="X76" s="16"/>
      <c r="Y76" s="19"/>
      <c r="Z76" s="19"/>
      <c r="AA76" s="607"/>
      <c r="AB76" s="608"/>
      <c r="AC76" s="136"/>
      <c r="AD76" s="18"/>
      <c r="AE76" s="14">
        <f t="shared" si="43"/>
        <v>-109.09090909090764</v>
      </c>
      <c r="AF76" s="241">
        <f t="shared" si="50"/>
        <v>0.95454545454545514</v>
      </c>
      <c r="AG76" s="616"/>
    </row>
    <row r="77" spans="1:33" ht="15.75" customHeight="1">
      <c r="A77" s="614" t="s">
        <v>1233</v>
      </c>
      <c r="B77" s="253" t="s">
        <v>20</v>
      </c>
      <c r="C77" s="605" t="s">
        <v>39</v>
      </c>
      <c r="D77" s="606"/>
      <c r="E77" s="27">
        <v>19.02</v>
      </c>
      <c r="F77" s="253">
        <v>5018</v>
      </c>
      <c r="G77" s="242">
        <f t="shared" si="51"/>
        <v>95442.36</v>
      </c>
      <c r="H77" s="31" t="s">
        <v>40</v>
      </c>
      <c r="I77" s="250">
        <v>14</v>
      </c>
      <c r="J77" s="29">
        <v>2400</v>
      </c>
      <c r="K77" s="12">
        <f t="shared" si="45"/>
        <v>171.42857142857142</v>
      </c>
      <c r="L77" s="250">
        <v>14</v>
      </c>
      <c r="M77" s="13">
        <f t="shared" si="52"/>
        <v>2298.320610687023</v>
      </c>
      <c r="N77" s="12">
        <f t="shared" si="46"/>
        <v>164.16575790621593</v>
      </c>
      <c r="O77" s="14">
        <f t="shared" si="47"/>
        <v>0</v>
      </c>
      <c r="P77" s="15">
        <f t="shared" si="48"/>
        <v>-7.2628135223554864</v>
      </c>
      <c r="Q77" s="241">
        <f t="shared" si="49"/>
        <v>0.95763358778625962</v>
      </c>
      <c r="R77" s="616"/>
      <c r="S77" s="32">
        <v>0.63124999999999987</v>
      </c>
      <c r="T77" s="32">
        <v>0.7222222222222221</v>
      </c>
      <c r="U77" s="242">
        <f t="shared" si="54"/>
        <v>6.9999999999999751</v>
      </c>
      <c r="V77" s="251">
        <f t="shared" si="53"/>
        <v>131</v>
      </c>
      <c r="W77" s="16"/>
      <c r="X77" s="16"/>
      <c r="Y77" s="19"/>
      <c r="Z77" s="19"/>
      <c r="AA77" s="607"/>
      <c r="AB77" s="608"/>
      <c r="AC77" s="136"/>
      <c r="AD77" s="18"/>
      <c r="AE77" s="14">
        <f t="shared" si="43"/>
        <v>-101.67938931297704</v>
      </c>
      <c r="AF77" s="241">
        <f t="shared" si="50"/>
        <v>0.95763358778625962</v>
      </c>
      <c r="AG77" s="616"/>
    </row>
    <row r="78" spans="1:33" ht="16.5" customHeight="1">
      <c r="A78" s="615" t="s">
        <v>1233</v>
      </c>
      <c r="B78" s="27" t="s">
        <v>1229</v>
      </c>
      <c r="C78" s="609"/>
      <c r="D78" s="610"/>
      <c r="E78" s="243"/>
      <c r="F78" s="28"/>
      <c r="G78" s="12"/>
      <c r="H78" s="253"/>
      <c r="I78" s="21">
        <v>17</v>
      </c>
      <c r="J78" s="29">
        <v>2400</v>
      </c>
      <c r="K78" s="12">
        <f t="shared" si="45"/>
        <v>141.1764705882353</v>
      </c>
      <c r="L78" s="21">
        <v>17</v>
      </c>
      <c r="M78" s="13">
        <f>AVERAGE(M70:M77)</f>
        <v>2294.7145674631065</v>
      </c>
      <c r="N78" s="12">
        <f t="shared" si="46"/>
        <v>134.98320985077098</v>
      </c>
      <c r="O78" s="14">
        <f t="shared" si="47"/>
        <v>0</v>
      </c>
      <c r="P78" s="15">
        <f t="shared" si="48"/>
        <v>-6.1932607374643283</v>
      </c>
      <c r="Q78" s="241">
        <f t="shared" si="49"/>
        <v>0.95613106977629436</v>
      </c>
      <c r="R78" s="616"/>
      <c r="S78" s="32"/>
      <c r="T78" s="32"/>
      <c r="U78" s="12"/>
      <c r="V78" s="251"/>
      <c r="W78" s="12"/>
      <c r="X78" s="12"/>
      <c r="Y78" s="22">
        <f>SUM(Y70:Y77)</f>
        <v>0</v>
      </c>
      <c r="Z78" s="22">
        <f>SUM(Z70:Z77)</f>
        <v>0</v>
      </c>
      <c r="AA78" s="611"/>
      <c r="AB78" s="611"/>
      <c r="AC78" s="22">
        <v>8</v>
      </c>
      <c r="AD78" s="22">
        <f>SUM(AD70:AD77)</f>
        <v>0</v>
      </c>
      <c r="AE78" s="14">
        <f t="shared" si="43"/>
        <v>-105.2854325368935</v>
      </c>
      <c r="AF78" s="241">
        <f t="shared" si="50"/>
        <v>0.95613106977629436</v>
      </c>
      <c r="AG78" s="616"/>
    </row>
    <row r="79" spans="1:33">
      <c r="D79" s="23"/>
      <c r="E79" s="23"/>
    </row>
  </sheetData>
  <mergeCells count="199">
    <mergeCell ref="AG70:AG78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C69:D69"/>
    <mergeCell ref="AA69:AB69"/>
    <mergeCell ref="A70:A78"/>
    <mergeCell ref="C70:D70"/>
    <mergeCell ref="R70:R78"/>
    <mergeCell ref="AA70:AB70"/>
    <mergeCell ref="AA75:AB75"/>
    <mergeCell ref="C76:D76"/>
    <mergeCell ref="AA76:AB76"/>
    <mergeCell ref="A65:A69"/>
    <mergeCell ref="C65:D65"/>
    <mergeCell ref="R65:R69"/>
    <mergeCell ref="AA65:AB65"/>
    <mergeCell ref="C77:D77"/>
    <mergeCell ref="AA77:AB77"/>
    <mergeCell ref="C78:D78"/>
    <mergeCell ref="AA78:AB78"/>
    <mergeCell ref="A43:A51"/>
    <mergeCell ref="C43:D43"/>
    <mergeCell ref="R43:R51"/>
    <mergeCell ref="AA43:AB43"/>
    <mergeCell ref="C44:D44"/>
    <mergeCell ref="AA44:AB44"/>
    <mergeCell ref="C45:D45"/>
    <mergeCell ref="AG65:AG69"/>
    <mergeCell ref="C66:D66"/>
    <mergeCell ref="AA66:AB66"/>
    <mergeCell ref="C67:D67"/>
    <mergeCell ref="AA67:AB67"/>
    <mergeCell ref="C68:D68"/>
    <mergeCell ref="AG57:AG64"/>
    <mergeCell ref="C58:D58"/>
    <mergeCell ref="AA58:AB58"/>
    <mergeCell ref="C59:D59"/>
    <mergeCell ref="AA59:AB59"/>
    <mergeCell ref="AA60:AB60"/>
    <mergeCell ref="AA61:AB61"/>
    <mergeCell ref="C62:D62"/>
    <mergeCell ref="AA62:AB62"/>
    <mergeCell ref="C63:D63"/>
    <mergeCell ref="AA68:AB68"/>
    <mergeCell ref="A57:A64"/>
    <mergeCell ref="C57:D57"/>
    <mergeCell ref="R57:R64"/>
    <mergeCell ref="AA57:AB57"/>
    <mergeCell ref="AA63:AB63"/>
    <mergeCell ref="C64:D64"/>
    <mergeCell ref="AA64:AB64"/>
    <mergeCell ref="A52:A56"/>
    <mergeCell ref="C52:D52"/>
    <mergeCell ref="R52:R56"/>
    <mergeCell ref="AA52:AB52"/>
    <mergeCell ref="AA45:AB45"/>
    <mergeCell ref="AG52:AG56"/>
    <mergeCell ref="C53:D53"/>
    <mergeCell ref="AA53:AB53"/>
    <mergeCell ref="C54:D54"/>
    <mergeCell ref="AA54:AB54"/>
    <mergeCell ref="C55:D55"/>
    <mergeCell ref="C49:D49"/>
    <mergeCell ref="AA49:AB49"/>
    <mergeCell ref="C50:D50"/>
    <mergeCell ref="AA50:AB50"/>
    <mergeCell ref="C51:D51"/>
    <mergeCell ref="AA51:AB51"/>
    <mergeCell ref="AG43:AG51"/>
    <mergeCell ref="AA55:AB55"/>
    <mergeCell ref="C56:D56"/>
    <mergeCell ref="AA56:AB56"/>
    <mergeCell ref="C46:D46"/>
    <mergeCell ref="AA46:AB46"/>
    <mergeCell ref="C47:D47"/>
    <mergeCell ref="AA47:AB47"/>
    <mergeCell ref="C48:D48"/>
    <mergeCell ref="AA48:AB48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2:AB42"/>
    <mergeCell ref="A26:A33"/>
    <mergeCell ref="C26:D26"/>
    <mergeCell ref="R26:R33"/>
    <mergeCell ref="AA26:AB26"/>
    <mergeCell ref="C33:D33"/>
    <mergeCell ref="AA33:AB33"/>
    <mergeCell ref="A34:A42"/>
    <mergeCell ref="C34:D34"/>
    <mergeCell ref="R34:R42"/>
    <mergeCell ref="AA34:AB34"/>
    <mergeCell ref="AA39:AB39"/>
    <mergeCell ref="C40:D40"/>
    <mergeCell ref="AA40:AB40"/>
    <mergeCell ref="C42:D42"/>
    <mergeCell ref="AG26:AG33"/>
    <mergeCell ref="C27:D27"/>
    <mergeCell ref="AA27:AB27"/>
    <mergeCell ref="C28:D28"/>
    <mergeCell ref="AA28:AB28"/>
    <mergeCell ref="C29:D29"/>
    <mergeCell ref="C19:D19"/>
    <mergeCell ref="AA19:AB19"/>
    <mergeCell ref="C20:D20"/>
    <mergeCell ref="AA20:AB20"/>
    <mergeCell ref="C25:D25"/>
    <mergeCell ref="AA25:AB25"/>
    <mergeCell ref="AA29:AB29"/>
    <mergeCell ref="C30:D30"/>
    <mergeCell ref="AA30:AB30"/>
    <mergeCell ref="C31:D31"/>
    <mergeCell ref="AA31:AB31"/>
    <mergeCell ref="C32:D32"/>
    <mergeCell ref="AA32:AB32"/>
    <mergeCell ref="AG16:AG25"/>
    <mergeCell ref="C17:D17"/>
    <mergeCell ref="AA17:AB17"/>
    <mergeCell ref="C18:D18"/>
    <mergeCell ref="AA18:AB18"/>
    <mergeCell ref="A5:A8"/>
    <mergeCell ref="C5:D5"/>
    <mergeCell ref="R5:R8"/>
    <mergeCell ref="AA5:AB5"/>
    <mergeCell ref="AG9:AG15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9:A15"/>
    <mergeCell ref="C9:D9"/>
    <mergeCell ref="R9:R15"/>
    <mergeCell ref="AA9:AB9"/>
    <mergeCell ref="AA14:AB14"/>
    <mergeCell ref="C15:D15"/>
    <mergeCell ref="AA15:AB15"/>
    <mergeCell ref="AA8:AB8"/>
    <mergeCell ref="A16:A25"/>
    <mergeCell ref="C16:D16"/>
    <mergeCell ref="R16:R25"/>
    <mergeCell ref="AA16:AB16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8:O75 O64:O65 O78 O5:O9 O15:O17 O25:O62">
    <cfRule type="cellIs" dxfId="788" priority="64" operator="greaterThan">
      <formula>0</formula>
    </cfRule>
  </conditionalFormatting>
  <conditionalFormatting sqref="P5:P7 P68 AE68 P70:P75 P34:P41 P65 P9 P15:P17 P26:P32 P57:P62 P43:P55 AE5:AE65 AE70:AE78">
    <cfRule type="cellIs" dxfId="787" priority="68" operator="lessThan">
      <formula>0</formula>
    </cfRule>
  </conditionalFormatting>
  <conditionalFormatting sqref="AF68 Q68:Q75 Q64:Q65 Q78 Q5:Q9 Q15:Q17 Q25:Q62 AF5:AF65 AF70:AF78">
    <cfRule type="cellIs" dxfId="786" priority="65" operator="greaterThan">
      <formula>1</formula>
    </cfRule>
    <cfRule type="cellIs" dxfId="785" priority="66" operator="lessThan">
      <formula>0.8</formula>
    </cfRule>
  </conditionalFormatting>
  <conditionalFormatting sqref="AG16:AG17 R16:R17 AG68 R68:R75 R25:R31 AG25:AG31 AG64:AG65 R64:R65 R78 AG5:AG9 R5:R9 AG33:AG62 R33:R62">
    <cfRule type="cellIs" dxfId="784" priority="70" operator="lessThan">
      <formula>0.8</formula>
    </cfRule>
  </conditionalFormatting>
  <conditionalFormatting sqref="AG52">
    <cfRule type="cellIs" dxfId="783" priority="72" operator="lessThan">
      <formula>0.8</formula>
    </cfRule>
  </conditionalFormatting>
  <conditionalFormatting sqref="AG26:AG31">
    <cfRule type="cellIs" dxfId="782" priority="69" operator="lessThan">
      <formula>0.8</formula>
    </cfRule>
  </conditionalFormatting>
  <conditionalFormatting sqref="AG34">
    <cfRule type="cellIs" dxfId="781" priority="71" operator="lessThan">
      <formula>0.8</formula>
    </cfRule>
  </conditionalFormatting>
  <conditionalFormatting sqref="AG43:AG50">
    <cfRule type="cellIs" dxfId="780" priority="67" operator="lessThan">
      <formula>0.8</formula>
    </cfRule>
  </conditionalFormatting>
  <conditionalFormatting sqref="AE69">
    <cfRule type="cellIs" dxfId="779" priority="63" operator="lessThan">
      <formula>0</formula>
    </cfRule>
  </conditionalFormatting>
  <conditionalFormatting sqref="AF69">
    <cfRule type="cellIs" dxfId="778" priority="61" operator="greaterThan">
      <formula>1</formula>
    </cfRule>
    <cfRule type="cellIs" dxfId="777" priority="62" operator="lessThan">
      <formula>0.8</formula>
    </cfRule>
  </conditionalFormatting>
  <conditionalFormatting sqref="O18:O19">
    <cfRule type="cellIs" dxfId="776" priority="56" operator="greaterThan">
      <formula>0</formula>
    </cfRule>
  </conditionalFormatting>
  <conditionalFormatting sqref="P18:P19">
    <cfRule type="cellIs" dxfId="775" priority="59" operator="lessThan">
      <formula>0</formula>
    </cfRule>
  </conditionalFormatting>
  <conditionalFormatting sqref="Q18:Q19">
    <cfRule type="cellIs" dxfId="774" priority="57" operator="greaterThan">
      <formula>1</formula>
    </cfRule>
    <cfRule type="cellIs" dxfId="773" priority="58" operator="lessThan">
      <formula>0.8</formula>
    </cfRule>
  </conditionalFormatting>
  <conditionalFormatting sqref="R18:R19 AG18:AG19">
    <cfRule type="cellIs" dxfId="772" priority="60" operator="lessThan">
      <formula>0.8</formula>
    </cfRule>
  </conditionalFormatting>
  <conditionalFormatting sqref="O10:O14">
    <cfRule type="cellIs" dxfId="771" priority="52" operator="greaterThan">
      <formula>0</formula>
    </cfRule>
  </conditionalFormatting>
  <conditionalFormatting sqref="P10:P14">
    <cfRule type="cellIs" dxfId="770" priority="55" operator="lessThan">
      <formula>0</formula>
    </cfRule>
  </conditionalFormatting>
  <conditionalFormatting sqref="Q10:Q14">
    <cfRule type="cellIs" dxfId="769" priority="53" operator="greaterThan">
      <formula>1</formula>
    </cfRule>
    <cfRule type="cellIs" dxfId="768" priority="54" operator="lessThan">
      <formula>0.8</formula>
    </cfRule>
  </conditionalFormatting>
  <conditionalFormatting sqref="O63">
    <cfRule type="cellIs" dxfId="767" priority="47" operator="greaterThan">
      <formula>0</formula>
    </cfRule>
  </conditionalFormatting>
  <conditionalFormatting sqref="P63">
    <cfRule type="cellIs" dxfId="766" priority="50" operator="lessThan">
      <formula>0</formula>
    </cfRule>
  </conditionalFormatting>
  <conditionalFormatting sqref="Q63">
    <cfRule type="cellIs" dxfId="765" priority="48" operator="greaterThan">
      <formula>1</formula>
    </cfRule>
    <cfRule type="cellIs" dxfId="764" priority="49" operator="lessThan">
      <formula>0.8</formula>
    </cfRule>
  </conditionalFormatting>
  <conditionalFormatting sqref="R63 AG63">
    <cfRule type="cellIs" dxfId="763" priority="51" operator="lessThan">
      <formula>0.8</formula>
    </cfRule>
  </conditionalFormatting>
  <conditionalFormatting sqref="O67">
    <cfRule type="cellIs" dxfId="762" priority="42" operator="greaterThan">
      <formula>0</formula>
    </cfRule>
  </conditionalFormatting>
  <conditionalFormatting sqref="P67 AE67">
    <cfRule type="cellIs" dxfId="761" priority="45" operator="lessThan">
      <formula>0</formula>
    </cfRule>
  </conditionalFormatting>
  <conditionalFormatting sqref="Q67 AF67">
    <cfRule type="cellIs" dxfId="760" priority="43" operator="greaterThan">
      <formula>1</formula>
    </cfRule>
    <cfRule type="cellIs" dxfId="759" priority="44" operator="lessThan">
      <formula>0.8</formula>
    </cfRule>
  </conditionalFormatting>
  <conditionalFormatting sqref="R67 AG67">
    <cfRule type="cellIs" dxfId="758" priority="46" operator="lessThan">
      <formula>0.8</formula>
    </cfRule>
  </conditionalFormatting>
  <conditionalFormatting sqref="O76">
    <cfRule type="cellIs" dxfId="757" priority="37" operator="greaterThan">
      <formula>0</formula>
    </cfRule>
  </conditionalFormatting>
  <conditionalFormatting sqref="P76">
    <cfRule type="cellIs" dxfId="756" priority="40" operator="lessThan">
      <formula>0</formula>
    </cfRule>
  </conditionalFormatting>
  <conditionalFormatting sqref="Q76">
    <cfRule type="cellIs" dxfId="755" priority="38" operator="greaterThan">
      <formula>1</formula>
    </cfRule>
    <cfRule type="cellIs" dxfId="754" priority="39" operator="lessThan">
      <formula>0.8</formula>
    </cfRule>
  </conditionalFormatting>
  <conditionalFormatting sqref="R76">
    <cfRule type="cellIs" dxfId="753" priority="41" operator="lessThan">
      <formula>0.8</formula>
    </cfRule>
  </conditionalFormatting>
  <conditionalFormatting sqref="O20:O21">
    <cfRule type="cellIs" dxfId="752" priority="32" operator="greaterThan">
      <formula>0</formula>
    </cfRule>
  </conditionalFormatting>
  <conditionalFormatting sqref="P20:P21">
    <cfRule type="cellIs" dxfId="751" priority="35" operator="lessThan">
      <formula>0</formula>
    </cfRule>
  </conditionalFormatting>
  <conditionalFormatting sqref="Q20:Q21">
    <cfRule type="cellIs" dxfId="750" priority="33" operator="greaterThan">
      <formula>1</formula>
    </cfRule>
    <cfRule type="cellIs" dxfId="749" priority="34" operator="lessThan">
      <formula>0.8</formula>
    </cfRule>
  </conditionalFormatting>
  <conditionalFormatting sqref="R20:R21 AG20:AG21">
    <cfRule type="cellIs" dxfId="748" priority="36" operator="lessThan">
      <formula>0.8</formula>
    </cfRule>
  </conditionalFormatting>
  <conditionalFormatting sqref="R32 AG32">
    <cfRule type="cellIs" dxfId="747" priority="31" operator="lessThan">
      <formula>0.8</formula>
    </cfRule>
  </conditionalFormatting>
  <conditionalFormatting sqref="AG32">
    <cfRule type="cellIs" dxfId="746" priority="30" operator="lessThan">
      <formula>0.8</formula>
    </cfRule>
  </conditionalFormatting>
  <conditionalFormatting sqref="O66">
    <cfRule type="cellIs" dxfId="745" priority="25" operator="greaterThan">
      <formula>0</formula>
    </cfRule>
  </conditionalFormatting>
  <conditionalFormatting sqref="P66 AE66">
    <cfRule type="cellIs" dxfId="744" priority="28" operator="lessThan">
      <formula>0</formula>
    </cfRule>
  </conditionalFormatting>
  <conditionalFormatting sqref="Q66 AF66">
    <cfRule type="cellIs" dxfId="743" priority="26" operator="greaterThan">
      <formula>1</formula>
    </cfRule>
    <cfRule type="cellIs" dxfId="742" priority="27" operator="lessThan">
      <formula>0.8</formula>
    </cfRule>
  </conditionalFormatting>
  <conditionalFormatting sqref="R66 AG66">
    <cfRule type="cellIs" dxfId="741" priority="29" operator="lessThan">
      <formula>0.8</formula>
    </cfRule>
  </conditionalFormatting>
  <conditionalFormatting sqref="O22">
    <cfRule type="cellIs" dxfId="740" priority="20" operator="greaterThan">
      <formula>0</formula>
    </cfRule>
  </conditionalFormatting>
  <conditionalFormatting sqref="P22">
    <cfRule type="cellIs" dxfId="739" priority="23" operator="lessThan">
      <formula>0</formula>
    </cfRule>
  </conditionalFormatting>
  <conditionalFormatting sqref="Q22">
    <cfRule type="cellIs" dxfId="738" priority="21" operator="greaterThan">
      <formula>1</formula>
    </cfRule>
    <cfRule type="cellIs" dxfId="737" priority="22" operator="lessThan">
      <formula>0.8</formula>
    </cfRule>
  </conditionalFormatting>
  <conditionalFormatting sqref="AG22 R22">
    <cfRule type="cellIs" dxfId="736" priority="24" operator="lessThan">
      <formula>0.8</formula>
    </cfRule>
  </conditionalFormatting>
  <conditionalFormatting sqref="O23:O24">
    <cfRule type="cellIs" dxfId="735" priority="15" operator="greaterThan">
      <formula>0</formula>
    </cfRule>
  </conditionalFormatting>
  <conditionalFormatting sqref="P23:P24">
    <cfRule type="cellIs" dxfId="734" priority="18" operator="lessThan">
      <formula>0</formula>
    </cfRule>
  </conditionalFormatting>
  <conditionalFormatting sqref="Q23:Q24">
    <cfRule type="cellIs" dxfId="733" priority="16" operator="greaterThan">
      <formula>1</formula>
    </cfRule>
    <cfRule type="cellIs" dxfId="732" priority="17" operator="lessThan">
      <formula>0.8</formula>
    </cfRule>
  </conditionalFormatting>
  <conditionalFormatting sqref="AG23 R23">
    <cfRule type="cellIs" dxfId="731" priority="19" operator="lessThan">
      <formula>0.8</formula>
    </cfRule>
  </conditionalFormatting>
  <conditionalFormatting sqref="P8">
    <cfRule type="cellIs" dxfId="730" priority="14" operator="lessThan">
      <formula>0</formula>
    </cfRule>
  </conditionalFormatting>
  <conditionalFormatting sqref="P25">
    <cfRule type="cellIs" dxfId="729" priority="13" operator="lessThan">
      <formula>0</formula>
    </cfRule>
  </conditionalFormatting>
  <conditionalFormatting sqref="P33">
    <cfRule type="cellIs" dxfId="728" priority="12" operator="lessThan">
      <formula>0</formula>
    </cfRule>
  </conditionalFormatting>
  <conditionalFormatting sqref="P42">
    <cfRule type="cellIs" dxfId="727" priority="11" operator="lessThan">
      <formula>0</formula>
    </cfRule>
  </conditionalFormatting>
  <conditionalFormatting sqref="P56">
    <cfRule type="cellIs" dxfId="726" priority="10" operator="lessThan">
      <formula>0</formula>
    </cfRule>
  </conditionalFormatting>
  <conditionalFormatting sqref="P64">
    <cfRule type="cellIs" dxfId="725" priority="9" operator="lessThan">
      <formula>0</formula>
    </cfRule>
  </conditionalFormatting>
  <conditionalFormatting sqref="P69">
    <cfRule type="cellIs" dxfId="724" priority="8" operator="lessThan">
      <formula>0</formula>
    </cfRule>
  </conditionalFormatting>
  <conditionalFormatting sqref="P78">
    <cfRule type="cellIs" dxfId="723" priority="7" operator="lessThan">
      <formula>0</formula>
    </cfRule>
  </conditionalFormatting>
  <conditionalFormatting sqref="O77">
    <cfRule type="cellIs" dxfId="722" priority="2" operator="greaterThan">
      <formula>0</formula>
    </cfRule>
  </conditionalFormatting>
  <conditionalFormatting sqref="P77">
    <cfRule type="cellIs" dxfId="721" priority="5" operator="lessThan">
      <formula>0</formula>
    </cfRule>
  </conditionalFormatting>
  <conditionalFormatting sqref="Q77">
    <cfRule type="cellIs" dxfId="720" priority="3" operator="greaterThan">
      <formula>1</formula>
    </cfRule>
    <cfRule type="cellIs" dxfId="719" priority="4" operator="lessThan">
      <formula>0.8</formula>
    </cfRule>
  </conditionalFormatting>
  <conditionalFormatting sqref="R77">
    <cfRule type="cellIs" dxfId="718" priority="6" operator="lessThan">
      <formula>0.8</formula>
    </cfRule>
  </conditionalFormatting>
  <conditionalFormatting sqref="AG24 R24">
    <cfRule type="cellIs" dxfId="717" priority="1" operator="lessThan">
      <formula>0.8</formula>
    </cfRule>
  </conditionalFormatting>
  <dataValidations count="1">
    <dataValidation type="list" allowBlank="1" showInputMessage="1" showErrorMessage="1" sqref="AB8 AA5:AB7 AA8:AA68 AB10:AB65 AA69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1040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1041</v>
      </c>
      <c r="C3" s="594" t="str">
        <f>TEXT('0711 4度C'!A2,"yyyy.mm.ddaaaa")</f>
        <v>2026.07.11星期六</v>
      </c>
      <c r="D3" s="595"/>
      <c r="E3" s="36" t="s">
        <v>1042</v>
      </c>
      <c r="F3" s="596">
        <f>'0711 4度C'!D1</f>
        <v>157782</v>
      </c>
      <c r="G3" s="597"/>
      <c r="H3" s="36" t="s">
        <v>1043</v>
      </c>
      <c r="I3" s="598">
        <f>'0711 4度C'!F1</f>
        <v>5441910.419999999</v>
      </c>
      <c r="J3" s="599"/>
      <c r="K3" s="37"/>
      <c r="L3" s="38"/>
      <c r="M3" s="39"/>
      <c r="N3" s="39"/>
    </row>
    <row r="4" spans="2:17" ht="28.5" customHeight="1">
      <c r="B4" s="600" t="s">
        <v>1044</v>
      </c>
      <c r="C4" s="586" t="s">
        <v>1045</v>
      </c>
      <c r="D4" s="587"/>
      <c r="E4" s="603" t="s">
        <v>1046</v>
      </c>
      <c r="F4" s="604"/>
      <c r="G4" s="603" t="s">
        <v>1047</v>
      </c>
      <c r="H4" s="604"/>
      <c r="I4" s="603" t="s">
        <v>1048</v>
      </c>
      <c r="J4" s="604"/>
      <c r="K4" s="584" t="s">
        <v>1049</v>
      </c>
      <c r="L4" s="585"/>
      <c r="M4" s="585" t="s">
        <v>1050</v>
      </c>
      <c r="N4" s="585"/>
    </row>
    <row r="5" spans="2:17" ht="28.5" customHeight="1">
      <c r="B5" s="601"/>
      <c r="C5" s="586" t="s">
        <v>1051</v>
      </c>
      <c r="D5" s="587"/>
      <c r="E5" s="586" t="s">
        <v>1052</v>
      </c>
      <c r="F5" s="587"/>
      <c r="G5" s="588" t="s">
        <v>1053</v>
      </c>
      <c r="H5" s="589"/>
      <c r="I5" s="590" t="s">
        <v>1054</v>
      </c>
      <c r="J5" s="591"/>
      <c r="K5" s="40" t="s">
        <v>1055</v>
      </c>
      <c r="L5" s="41" t="s">
        <v>1056</v>
      </c>
      <c r="M5" s="40" t="s">
        <v>1055</v>
      </c>
      <c r="N5" s="41" t="s">
        <v>1057</v>
      </c>
    </row>
    <row r="6" spans="2:17" ht="28.5" customHeight="1">
      <c r="B6" s="601"/>
      <c r="C6" s="586" t="s">
        <v>41</v>
      </c>
      <c r="D6" s="587"/>
      <c r="E6" s="578">
        <f>AVERAGE(D13:M13)</f>
        <v>158.83340186270121</v>
      </c>
      <c r="F6" s="579">
        <f>AVERAGE(D31:O31,D13:J13)</f>
        <v>167.2706956719733</v>
      </c>
      <c r="G6" s="580">
        <f>AVERAGE(D13:J13)</f>
        <v>167.2706956719733</v>
      </c>
      <c r="H6" s="581"/>
      <c r="I6" s="580">
        <f>AVERAGE(K13:M13)</f>
        <v>139.14638297439964</v>
      </c>
      <c r="J6" s="581"/>
      <c r="K6" s="582">
        <f>'0711 4度C'!Y2</f>
        <v>0</v>
      </c>
      <c r="L6" s="567">
        <f>'0711 4度C'!Z2</f>
        <v>0</v>
      </c>
      <c r="M6" s="583">
        <f>'0711 4度C'!AC2</f>
        <v>54</v>
      </c>
      <c r="N6" s="567">
        <f>'0711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152.06750183419123</v>
      </c>
      <c r="F7" s="571">
        <f>AVERAGE(D32:O32,D14:J14)</f>
        <v>160.19776149880889</v>
      </c>
      <c r="G7" s="572">
        <f>AVERAGE(D14:J14)</f>
        <v>160.19776149880889</v>
      </c>
      <c r="H7" s="573"/>
      <c r="I7" s="572">
        <f>AVERAGE(K14:M14)</f>
        <v>133.09689595008334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0.95733351224253715</v>
      </c>
      <c r="F8" s="575">
        <f>AVERAGE(D15:J15,D33:O33)</f>
        <v>0.95767349808064017</v>
      </c>
      <c r="G8" s="576">
        <f>AVERAGE(D15:J15)</f>
        <v>0.95767349808064017</v>
      </c>
      <c r="H8" s="577"/>
      <c r="I8" s="576">
        <f>AVERAGE(K15:M15)</f>
        <v>0.95654021195363015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394</v>
      </c>
      <c r="N9" s="39"/>
      <c r="O9" s="39"/>
      <c r="P9" s="39"/>
      <c r="Q9" s="39"/>
    </row>
    <row r="10" spans="2:17" ht="30" customHeight="1">
      <c r="B10" s="550" t="s">
        <v>1058</v>
      </c>
      <c r="C10" s="551"/>
      <c r="D10" s="552" t="s">
        <v>1059</v>
      </c>
      <c r="E10" s="553"/>
      <c r="F10" s="553"/>
      <c r="G10" s="553"/>
      <c r="H10" s="553"/>
      <c r="I10" s="553"/>
      <c r="J10" s="554"/>
      <c r="K10" s="555" t="s">
        <v>1060</v>
      </c>
      <c r="L10" s="556"/>
      <c r="M10" s="557"/>
      <c r="P10" s="45"/>
      <c r="Q10" s="45"/>
    </row>
    <row r="11" spans="2:17" ht="17.25" customHeight="1">
      <c r="B11" s="558" t="s">
        <v>1061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1062</v>
      </c>
      <c r="C13" s="52" t="s">
        <v>1063</v>
      </c>
      <c r="D13" s="53">
        <f>SUMIFS('0711 4度C'!$K:$K,'0711 4度C'!$A:$A,"新豐6線",'0711 4度C'!$B:$B,"平均")</f>
        <v>129.03225806451613</v>
      </c>
      <c r="E13" s="54">
        <f>SUMIFS('0711 4度C'!$K:$K,'0711 4度C'!$A:$A,"新豐2線",'0711 4度C'!$B:$B,"平均")</f>
        <v>84.269662921348313</v>
      </c>
      <c r="F13" s="55">
        <f>SUMIFS('0711 4度C'!$K:$K,'0711 4度C'!$A:$A,"新豐5線",'0711 4度C'!$B:$B,"平均")</f>
        <v>96.874999999999986</v>
      </c>
      <c r="G13" s="55">
        <f>SUMIFS('0711 4度C'!$K:$K,'0711 4度C'!$A:$A,"新豐7線",'0711 4度C'!$B:$B,"平均")</f>
        <v>133.33333333333334</v>
      </c>
      <c r="H13" s="55">
        <f>SUMIFS('0711 4度C'!$K:$K,'0711 4度C'!$A:$A,"新豐3線",'0711 4度C'!$B:$B,"平均")</f>
        <v>307.69230769230768</v>
      </c>
      <c r="I13" s="55">
        <f>SUMIFS('0711 4度C'!$K:$K,'0711 4度C'!$A:$A,"新豐1線",'0711 4度C'!$B:$B,"平均")</f>
        <v>112</v>
      </c>
      <c r="J13" s="56">
        <f>SUMIFS('0711 4度C'!$K:$K,'0711 4度C'!$A:$A,"新豐10線",'0711 4度C'!$B:$B,"平均")</f>
        <v>307.69230769230768</v>
      </c>
      <c r="K13" s="57">
        <f>SUMIFS('0711 4度C'!$K:$K,'0711 4度C'!$A:$A,"新豐8線",'0711 4度C'!$B:$B,"平均")</f>
        <v>138.46153846153848</v>
      </c>
      <c r="L13" s="58">
        <f>SUMIFS('0711 4度C'!$K:$K,'0711 4度C'!$A:$A,"新豐9線",'0711 4度C'!$B:$B,"平均")</f>
        <v>132.03883495145629</v>
      </c>
      <c r="M13" s="56">
        <f>SUMIFS('0711 4度C'!$K:$K,'0711 4度C'!$A:$A,"新豐4線",'0711 4度C'!$B:$B,"平均")</f>
        <v>146.9387755102041</v>
      </c>
    </row>
    <row r="14" spans="2:17" ht="39.6" customHeight="1">
      <c r="B14" s="563"/>
      <c r="C14" s="59" t="s">
        <v>401</v>
      </c>
      <c r="D14" s="60">
        <f>SUMIFS('0711 4度C'!$N:$N,'0711 4度C'!$A:$A,"新豐6線",'0711 4度C'!$B:$B,"平均")</f>
        <v>123.11153193156582</v>
      </c>
      <c r="E14" s="61">
        <f>SUMIFS('0711 4度C'!$N:$N,'0711 4度C'!$A:$A,"新豐2線",'0711 4度C'!$B:$B,"平均")</f>
        <v>80.386441667376943</v>
      </c>
      <c r="F14" s="61">
        <f>SUMIFS('0711 4度C'!$N:$N,'0711 4度C'!$A:$A,"新豐5線",'0711 4度C'!$B:$B,"平均")</f>
        <v>92.804430562026084</v>
      </c>
      <c r="G14" s="61">
        <f>SUMIFS('0711 4度C'!$N:$N,'0711 4度C'!$A:$A,"新豐7線",'0711 4度C'!$B:$B,"平均")</f>
        <v>128.15491810827078</v>
      </c>
      <c r="H14" s="61">
        <f>SUMIFS('0711 4度C'!$N:$N,'0711 4度C'!$A:$A,"新豐3線",'0711 4度C'!$B:$B,"平均")</f>
        <v>294.14681555004137</v>
      </c>
      <c r="I14" s="61">
        <f>SUMIFS('0711 4度C'!$N:$N,'0711 4度C'!$A:$A,"新豐1線",'0711 4度C'!$B:$B,"平均")</f>
        <v>107.689959131639</v>
      </c>
      <c r="J14" s="62">
        <f>SUMIFS('0711 4度C'!$N:$N,'0711 4度C'!$A:$A,"新豐10線",'0711 4度C'!$B:$B,"平均")</f>
        <v>295.0902335407423</v>
      </c>
      <c r="K14" s="63">
        <f>SUMIFS('0711 4度C'!$N:$N,'0711 4度C'!$A:$A,"新豐8線",'0711 4度C'!$B:$B,"平均")</f>
        <v>132.15927584380566</v>
      </c>
      <c r="L14" s="64">
        <f>SUMIFS('0711 4度C'!$N:$N,'0711 4度C'!$A:$A,"新豐9線",'0711 4度C'!$B:$B,"平均")</f>
        <v>126.51382746894333</v>
      </c>
      <c r="M14" s="62">
        <f>SUMIFS('0711 4度C'!$N:$N,'0711 4度C'!$A:$A,"新豐4線",'0711 4度C'!$B:$B,"平均")</f>
        <v>140.61758453750102</v>
      </c>
    </row>
    <row r="15" spans="2:17" ht="40.15" customHeight="1">
      <c r="B15" s="564"/>
      <c r="C15" s="65" t="s">
        <v>1064</v>
      </c>
      <c r="D15" s="66">
        <f t="shared" ref="D15:M15" si="0">D14/D13</f>
        <v>0.95411437246963515</v>
      </c>
      <c r="E15" s="67">
        <f t="shared" si="0"/>
        <v>0.95391910778620637</v>
      </c>
      <c r="F15" s="67">
        <f t="shared" si="0"/>
        <v>0.95798121870478548</v>
      </c>
      <c r="G15" s="67">
        <f t="shared" si="0"/>
        <v>0.96116188581203077</v>
      </c>
      <c r="H15" s="67">
        <f t="shared" si="0"/>
        <v>0.95597715053763443</v>
      </c>
      <c r="I15" s="67">
        <f t="shared" si="0"/>
        <v>0.96151749224677674</v>
      </c>
      <c r="J15" s="68">
        <f t="shared" si="0"/>
        <v>0.9590432590074125</v>
      </c>
      <c r="K15" s="66">
        <f t="shared" si="0"/>
        <v>0.95448365887192965</v>
      </c>
      <c r="L15" s="67">
        <f t="shared" si="0"/>
        <v>0.95815619333096802</v>
      </c>
      <c r="M15" s="68">
        <f t="shared" si="0"/>
        <v>0.95698078365799299</v>
      </c>
    </row>
    <row r="16" spans="2:17" ht="17.25" customHeight="1">
      <c r="B16" s="565" t="s">
        <v>1065</v>
      </c>
      <c r="C16" s="69" t="s">
        <v>1066</v>
      </c>
      <c r="D16" s="70">
        <f>VLOOKUP("新豐6線",'0711 4度C'!$A:$T,19,0)</f>
        <v>0.70833333333333337</v>
      </c>
      <c r="E16" s="71">
        <f>VLOOKUP("新豐2線",'0711 4度C'!$A:$T,19,0)</f>
        <v>8.3333333333333329E-2</v>
      </c>
      <c r="F16" s="71">
        <f>VLOOKUP("新豐5線",'0711 4度C'!$A:$T,19,0)</f>
        <v>8.3333333333333329E-2</v>
      </c>
      <c r="G16" s="71">
        <f>VLOOKUP("新豐7線",'0711 4度C'!$A:$T,19,0)</f>
        <v>0.20833333333333334</v>
      </c>
      <c r="H16" s="71">
        <f>VLOOKUP("新豐3線",'0711 4度C'!$A:$T,19,0)</f>
        <v>0.20833333333333334</v>
      </c>
      <c r="I16" s="71">
        <f>VLOOKUP("新豐1線",'0711 4度C'!$A:$T,19,0)</f>
        <v>0.20833333333333334</v>
      </c>
      <c r="J16" s="72">
        <f>VLOOKUP("新豐10線",'0711 4度C'!$A:$T,19,0)</f>
        <v>0.20833333333333334</v>
      </c>
      <c r="K16" s="73">
        <f>VLOOKUP("新豐8線",'0711 4度C'!$A:$T,19,0)</f>
        <v>8.3333333333333329E-2</v>
      </c>
      <c r="L16" s="74">
        <f>VLOOKUP("新豐9線",'0711 4度C'!$A:$T,19,0)</f>
        <v>8.3333333333333329E-2</v>
      </c>
      <c r="M16" s="75">
        <f>VLOOKUP("新豐4線",'0711 4度C'!$A:$T,19,0)</f>
        <v>8.3333333333333329E-2</v>
      </c>
    </row>
    <row r="17" spans="2:13" ht="17.25" customHeight="1">
      <c r="B17" s="566"/>
      <c r="C17" s="69" t="s">
        <v>1067</v>
      </c>
      <c r="D17" s="73">
        <f>LOOKUP(2,1/(('0711 4度C'!$A:$A="新豐6線")*('0711 4度C'!$T:$T&lt;&gt;"")),'0711 4度C'!$T:$T)</f>
        <v>0.81875000000000009</v>
      </c>
      <c r="E17" s="71">
        <f>LOOKUP(2,1/(('0711 4度C'!$A:$A="新豐2線")*('0711 4度C'!$T:$T&lt;&gt;"")),'0711 4度C'!$T:$T)</f>
        <v>0.57916666666666661</v>
      </c>
      <c r="F17" s="71">
        <f>LOOKUP(2,1/(('0711 4度C'!$A:$A="新豐5線")*('0711 4度C'!$T:$T&lt;&gt;"")),'0711 4度C'!$T:$T)</f>
        <v>0.84236111111111112</v>
      </c>
      <c r="G17" s="71">
        <f>LOOKUP(2,1/(('0711 4度C'!$A:$A="新豐7線")*('0711 4度C'!$T:$T&lt;&gt;"")),'0711 4度C'!$T:$T)</f>
        <v>0.79444444444444451</v>
      </c>
      <c r="H17" s="71">
        <f>LOOKUP(2,1/(('0711 4度C'!$A:$A="新豐3線")*('0711 4度C'!$T:$T&lt;&gt;"")),'0711 4度C'!$T:$T)</f>
        <v>0.41041666666666665</v>
      </c>
      <c r="I17" s="71">
        <f>LOOKUP(2,1/(('0711 4度C'!$A:$A="新豐1線")*('0711 4度C'!$T:$T&lt;&gt;"")),'0711 4度C'!$T:$T)</f>
        <v>0.81111111111111112</v>
      </c>
      <c r="J17" s="72">
        <f>LOOKUP(2,1/(('0711 4度C'!$A:$A="新豐10線")*('0711 4度C'!$T:$T&lt;&gt;"")),'0711 4度C'!$T:$T)</f>
        <v>0.38124999999999998</v>
      </c>
      <c r="K17" s="70">
        <f>LOOKUP(2,1/(('0711 4度C'!$A:$A="新豐8線")*('0711 4度C'!$T:$T&lt;&gt;"")),'0711 4度C'!$T:$T)</f>
        <v>0.60555555555555551</v>
      </c>
      <c r="L17" s="71">
        <f>LOOKUP(2,1/(('0711 4度C'!$A:$A="新豐9線")*('0711 4度C'!$T:$T&lt;&gt;"")),'0711 4度C'!$T:$T)</f>
        <v>0.58125000000000004</v>
      </c>
      <c r="M17" s="72">
        <f>LOOKUP(2,1/(('0711 4度C'!$A:$A="新豐4線")*('0711 4度C'!$T:$T&lt;&gt;"")),'0711 4度C'!$T:$T)</f>
        <v>0.60277777777777763</v>
      </c>
    </row>
    <row r="18" spans="2:13" ht="17.25" customHeight="1">
      <c r="B18" s="544" t="s">
        <v>1068</v>
      </c>
      <c r="C18" s="76" t="s">
        <v>1069</v>
      </c>
      <c r="D18" s="77">
        <f>SUMIFS('0711 4度C'!$Y:$Y,'0711 4度C'!$A:$A,"新豐6線",'0711 4度C'!$B:$B,"平均")</f>
        <v>0</v>
      </c>
      <c r="E18" s="78">
        <f>SUMIFS('0711 4度C'!$Y:$Y,'0711 4度C'!$A:$A,"新豐2線",'0711 4度C'!$B:$B,"平均")</f>
        <v>0</v>
      </c>
      <c r="F18" s="78">
        <f>SUMIFS('0711 4度C'!$Y:$Y,'0711 4度C'!$A:$A,"新豐5線",'0711 4度C'!$B:$B,"平均")</f>
        <v>0</v>
      </c>
      <c r="G18" s="78">
        <f>SUMIFS('0711 4度C'!$Y:$Y,'0711 4度C'!$A:$A,"新豐7線",'0711 4度C'!$B:$B,"平均")</f>
        <v>0</v>
      </c>
      <c r="H18" s="78">
        <f>SUMIFS('0711 4度C'!$Y:$Y,'0711 4度C'!$A:$A,"新豐3線",'0711 4度C'!$B:$B,"平均")</f>
        <v>0</v>
      </c>
      <c r="I18" s="78">
        <f>SUMIFS('0711 4度C'!$Y:$Y,'0711 4度C'!$A:$A,"新豐1線",'0711 4度C'!$B:$B,"平均")</f>
        <v>0</v>
      </c>
      <c r="J18" s="79">
        <f>SUMIFS('0711 4度C'!$Y:$Y,'0711 4度C'!$A:$A,"新豐10線",'0711 4度C'!$B:$B,"平均")</f>
        <v>0</v>
      </c>
      <c r="K18" s="80">
        <f>SUMIFS('0711 4度C'!$Y:$Y,'0711 4度C'!$A:$A,"新豐8線",'0711 4度C'!$B:$B,"平均")</f>
        <v>0</v>
      </c>
      <c r="L18" s="78">
        <f>SUMIFS('0711 4度C'!$Y:$Y,'0711 4度C'!$A:$A,"新豐9線",'0711 4度C'!$B:$B,"平均")</f>
        <v>0</v>
      </c>
      <c r="M18" s="79">
        <f>SUMIFS('0711 4度C'!$Y:$Y,'0711 4度C'!$A:$A,"新豐4線",'0711 4度C'!$B:$B,"平均")</f>
        <v>0</v>
      </c>
    </row>
    <row r="19" spans="2:13" ht="17.25" customHeight="1">
      <c r="B19" s="545"/>
      <c r="C19" s="76" t="s">
        <v>1070</v>
      </c>
      <c r="D19" s="77">
        <f>SUMIFS('0711 4度C'!$Z:$Z,'0711 4度C'!$A:$A,"新豐6線",'0711 4度C'!$B:$B,"平均")</f>
        <v>0</v>
      </c>
      <c r="E19" s="78">
        <f>SUMIFS('0711 4度C'!$Z:$Z,'0711 4度C'!$A:$A,"新豐2線",'0711 4度C'!$B:$B,"平均")</f>
        <v>0</v>
      </c>
      <c r="F19" s="78">
        <f>SUMIFS('0711 4度C'!$Z:$Z,'0711 4度C'!$A:$A,"新豐5線",'0711 4度C'!$B:$B,"平均")</f>
        <v>0</v>
      </c>
      <c r="G19" s="78">
        <f>SUMIFS('0711 4度C'!$Z:$Z,'0711 4度C'!$A:$A,"新豐7線",'0711 4度C'!$B:$B,"平均")</f>
        <v>0</v>
      </c>
      <c r="H19" s="78">
        <f>SUMIFS('0711 4度C'!$Z:$Z,'0711 4度C'!$A:$A,"新豐3線",'0711 4度C'!$B:$B,"平均")</f>
        <v>0</v>
      </c>
      <c r="I19" s="78">
        <f>SUMIFS('0711 4度C'!$Z:$Z,'0711 4度C'!$A:$A,"新豐1線",'0711 4度C'!$B:$B,"平均")</f>
        <v>0</v>
      </c>
      <c r="J19" s="79">
        <f>SUMIFS('0711 4度C'!$Z:$Z,'0711 4度C'!$A:$A,"新豐10線",'0711 4度C'!$B:$B,"平均")</f>
        <v>0</v>
      </c>
      <c r="K19" s="80">
        <f>SUMIFS('0711 4度C'!$Z:$Z,'0711 4度C'!$A:$A,"新豐8線",'0711 4度C'!$B:$B,"平均")</f>
        <v>0</v>
      </c>
      <c r="L19" s="78">
        <f>SUMIFS('0711 4度C'!$Z:$Z,'0711 4度C'!$A:$A,"新豐9線",'0711 4度C'!$B:$B,"平均")</f>
        <v>0</v>
      </c>
      <c r="M19" s="79">
        <f>SUMIFS('0711 4度C'!$Z:$Z,'0711 4度C'!$A:$A,"新豐4線",'0711 4度C'!$B:$B,"平均")</f>
        <v>0</v>
      </c>
    </row>
    <row r="20" spans="2:13" ht="17.25" customHeight="1">
      <c r="B20" s="544" t="s">
        <v>1071</v>
      </c>
      <c r="C20" s="76" t="s">
        <v>1069</v>
      </c>
      <c r="D20" s="77">
        <f>SUMIFS('0711 4度C'!$AC:$AC,'0711 4度C'!$A:$A,"新豐6線",'0711 4度C'!$B:$B,"平均")</f>
        <v>2</v>
      </c>
      <c r="E20" s="78">
        <f>SUMIFS('0711 4度C'!$AC:$AC,'0711 4度C'!$A:$A,"新豐2線",'0711 4度C'!$B:$B,"平均")</f>
        <v>5</v>
      </c>
      <c r="F20" s="78">
        <f>SUMIFS('0711 4度C'!$AC:$AC,'0711 4度C'!$A:$A,"新豐5線",'0711 4度C'!$B:$B,"平均")</f>
        <v>9</v>
      </c>
      <c r="G20" s="78">
        <f>SUMIFS('0711 4度C'!$AC:$AC,'0711 4度C'!$A:$A,"新豐7線",'0711 4度C'!$B:$B,"平均")</f>
        <v>5</v>
      </c>
      <c r="H20" s="78">
        <f>SUMIFS('0711 4度C'!$AC:$AC,'0711 4度C'!$A:$A,"新豐3線",'0711 4度C'!$B:$B,"平均")</f>
        <v>4</v>
      </c>
      <c r="I20" s="78">
        <f>SUMIFS('0711 4度C'!$AC:$AC,'0711 4度C'!$A:$A,"新豐1線",'0711 4度C'!$B:$B,"平均")</f>
        <v>7</v>
      </c>
      <c r="J20" s="79">
        <f>SUMIFS('0711 4度C'!$AC:$AC,'0711 4度C'!$A:$A,"新豐10線",'0711 4度C'!$B:$B,"平均")</f>
        <v>4</v>
      </c>
      <c r="K20" s="80">
        <f>SUMIFS('0711 4度C'!$AC:$AC,'0711 4度C'!$A:$A,"新豐8線",'0711 4度C'!$B:$B,"平均")</f>
        <v>6</v>
      </c>
      <c r="L20" s="78">
        <f>SUMIFS('0711 4度C'!$AC:$AC,'0711 4度C'!$A:$A,"新豐9線",'0711 4度C'!$B:$B,"平均")</f>
        <v>6</v>
      </c>
      <c r="M20" s="79">
        <f>SUMIFS('0711 4度C'!$AC:$AC,'0711 4度C'!$A:$A,"新豐4線",'0711 4度C'!$B:$B,"平均")</f>
        <v>6</v>
      </c>
    </row>
    <row r="21" spans="2:13" ht="17.25" customHeight="1">
      <c r="B21" s="545"/>
      <c r="C21" s="76" t="s">
        <v>1072</v>
      </c>
      <c r="D21" s="77">
        <f>SUMIFS('0711 4度C'!$AD:$AD,'0711 4度C'!$A:$A,"新豐6線",'0711 4度C'!$B:$B,"平均")</f>
        <v>0</v>
      </c>
      <c r="E21" s="78">
        <f>SUMIFS('0711 4度C'!$AD:$AD,'0711 4度C'!$A:$A,"新豐2線",'0711 4度C'!$B:$B,"平均")</f>
        <v>0</v>
      </c>
      <c r="F21" s="78">
        <f>SUMIFS('0711 4度C'!$AD:$AD,'0711 4度C'!$A:$A,"新豐5線",'0711 4度C'!$B:$B,"平均")</f>
        <v>0</v>
      </c>
      <c r="G21" s="78">
        <f>SUMIFS('0711 4度C'!$AD:$AD,'0711 4度C'!$A:$A,"新豐7線",'0711 4度C'!$B:$B,"平均")</f>
        <v>0</v>
      </c>
      <c r="H21" s="78">
        <f>SUMIFS('0711 4度C'!$AD:$AD,'0711 4度C'!$A:$A,"新豐3線",'0711 4度C'!$B:$B,"平均")</f>
        <v>0</v>
      </c>
      <c r="I21" s="78">
        <f>SUMIFS('0711 4度C'!$AD:$AD,'0711 4度C'!$A:$A,"新豐1線",'0711 4度C'!$B:$B,"平均")</f>
        <v>0</v>
      </c>
      <c r="J21" s="79">
        <f>SUMIFS('0711 4度C'!$AD:$AD,'0711 4度C'!$A:$A,"新豐10線",'0711 4度C'!$B:$B,"平均")</f>
        <v>0</v>
      </c>
      <c r="K21" s="80">
        <f>SUMIFS('0711 4度C'!$AD:$AD,'0711 4度C'!$A:$A,"新豐8線",'0711 4度C'!$B:$B,"平均")</f>
        <v>0</v>
      </c>
      <c r="L21" s="78">
        <f>SUMIFS('0711 4度C'!$AD:$AD,'0711 4度C'!$A:$A,"新豐9線",'0711 4度C'!$B:$B,"平均")</f>
        <v>0</v>
      </c>
      <c r="M21" s="79">
        <f>SUMIFS('0711 4度C'!$AD:$AD,'0711 4度C'!$A:$A,"新豐4線",'0711 4度C'!$B:$B,"平均")</f>
        <v>0</v>
      </c>
    </row>
    <row r="22" spans="2:13" ht="17.25" customHeight="1">
      <c r="B22" s="546" t="s">
        <v>1073</v>
      </c>
      <c r="C22" s="547"/>
      <c r="D22" s="81">
        <f>SUMIFS('0711 4度C'!$I:$I,'0711 4度C'!$A:$A,"新豐6線",'0711 4度C'!$B:$B,"平均")</f>
        <v>15.5</v>
      </c>
      <c r="E22" s="82">
        <f>SUMIFS('0711 4度C'!$I:$I,'0711 4度C'!$A:$A,"新豐2線",'0711 4度C'!$B:$B,"平均")</f>
        <v>17.8</v>
      </c>
      <c r="F22" s="82">
        <f>SUMIFS('0711 4度C'!$I:$I,'0711 4度C'!$A:$A,"新豐5線",'0711 4度C'!$B:$B,"平均")</f>
        <v>17.777777777777779</v>
      </c>
      <c r="G22" s="82">
        <f>SUMIFS('0711 4度C'!$I:$I,'0711 4度C'!$A:$A,"新豐7線",'0711 4度C'!$B:$B,"平均")</f>
        <v>15</v>
      </c>
      <c r="H22" s="82">
        <f>SUMIFS('0711 4度C'!$I:$I,'0711 4度C'!$A:$A,"新豐3線",'0711 4度C'!$B:$B,"平均")</f>
        <v>9.75</v>
      </c>
      <c r="I22" s="82">
        <f>SUMIFS('0711 4度C'!$I:$I,'0711 4度C'!$A:$A,"新豐1線",'0711 4度C'!$B:$B,"平均")</f>
        <v>17.857142857142858</v>
      </c>
      <c r="J22" s="83">
        <f>SUMIFS('0711 4度C'!$I:$I,'0711 4度C'!$A:$A,"新豐10線",'0711 4度C'!$B:$B,"平均")</f>
        <v>9.75</v>
      </c>
      <c r="K22" s="81">
        <f>SUMIFS('0711 4度C'!$I:$I,'0711 4度C'!$A:$A,"新豐8線",'0711 4度C'!$B:$B,"平均")</f>
        <v>17.333333333333332</v>
      </c>
      <c r="L22" s="82">
        <f>SUMIFS('0711 4度C'!$I:$I,'0711 4度C'!$A:$A,"新豐9線",'0711 4度C'!$B:$B,"平均")</f>
        <v>17.166666666666668</v>
      </c>
      <c r="M22" s="83">
        <f>SUMIFS('0711 4度C'!$I:$I,'0711 4度C'!$A:$A,"新豐4線",'0711 4度C'!$B:$B,"平均")</f>
        <v>16.333333333333332</v>
      </c>
    </row>
    <row r="23" spans="2:13" ht="17.25" customHeight="1">
      <c r="B23" s="546" t="s">
        <v>1074</v>
      </c>
      <c r="C23" s="547"/>
      <c r="D23" s="84" t="s">
        <v>54</v>
      </c>
      <c r="E23" s="85" t="s">
        <v>55</v>
      </c>
      <c r="F23" s="85" t="s">
        <v>1075</v>
      </c>
      <c r="G23" s="85" t="s">
        <v>1076</v>
      </c>
      <c r="H23" s="85" t="s">
        <v>56</v>
      </c>
      <c r="I23" s="85" t="s">
        <v>54</v>
      </c>
      <c r="J23" s="86" t="s">
        <v>56</v>
      </c>
      <c r="K23" s="84" t="s">
        <v>325</v>
      </c>
      <c r="L23" s="85" t="s">
        <v>1077</v>
      </c>
      <c r="M23" s="86" t="s">
        <v>1077</v>
      </c>
    </row>
    <row r="24" spans="2:13" ht="17.25" customHeight="1">
      <c r="B24" s="546" t="s">
        <v>1078</v>
      </c>
      <c r="C24" s="547"/>
      <c r="D24" s="84"/>
      <c r="E24" s="85"/>
      <c r="F24" s="85" t="s">
        <v>1079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1080</v>
      </c>
      <c r="C25" s="549"/>
      <c r="D25" s="87"/>
      <c r="E25" s="88" t="s">
        <v>329</v>
      </c>
      <c r="F25" s="542" t="s">
        <v>1081</v>
      </c>
      <c r="G25" s="543"/>
      <c r="H25" s="88" t="s">
        <v>1082</v>
      </c>
      <c r="I25" s="88" t="s">
        <v>1083</v>
      </c>
      <c r="J25" s="89" t="s">
        <v>1082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1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38" activePane="bottomLeft" state="frozen"/>
      <selection activeCell="G9" sqref="G9"/>
      <selection pane="bottomLeft" activeCell="B14" sqref="B14:B15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516</v>
      </c>
      <c r="B1" s="1"/>
      <c r="C1" s="2" t="s">
        <v>1084</v>
      </c>
      <c r="D1" s="3">
        <f>SUM(F5:F68)</f>
        <v>157782</v>
      </c>
      <c r="E1" s="229" t="s">
        <v>1085</v>
      </c>
      <c r="F1" s="1">
        <f>SUM(G5:G68)</f>
        <v>5441910.419999999</v>
      </c>
      <c r="G1" s="1" t="s">
        <v>1086</v>
      </c>
      <c r="H1" s="4">
        <f>L7+L13+L48+L56+L23+L61+L36+L43+L29+L68</f>
        <v>154.26825396825399</v>
      </c>
      <c r="I1" s="654" t="s">
        <v>1087</v>
      </c>
      <c r="J1" s="654"/>
      <c r="K1" s="654"/>
      <c r="L1" s="654" t="s">
        <v>1088</v>
      </c>
      <c r="M1" s="654"/>
      <c r="N1" s="654"/>
      <c r="O1" s="654" t="s">
        <v>243</v>
      </c>
      <c r="P1" s="654"/>
      <c r="Q1" s="654"/>
      <c r="R1" s="654"/>
      <c r="S1" s="654" t="s">
        <v>1089</v>
      </c>
      <c r="T1" s="654"/>
      <c r="U1" s="654"/>
      <c r="V1" s="654"/>
      <c r="W1" s="654"/>
      <c r="X1" s="654"/>
      <c r="Y1" s="5" t="s">
        <v>1090</v>
      </c>
      <c r="Z1" s="6" t="s">
        <v>1091</v>
      </c>
      <c r="AA1" s="655" t="s">
        <v>1092</v>
      </c>
      <c r="AB1" s="655"/>
      <c r="AC1" s="92" t="s">
        <v>1090</v>
      </c>
      <c r="AD1" s="6" t="s">
        <v>1093</v>
      </c>
      <c r="AE1" s="654" t="s">
        <v>1094</v>
      </c>
      <c r="AF1" s="656"/>
      <c r="AG1" s="656"/>
    </row>
    <row r="2" spans="1:33" ht="26.25" customHeight="1">
      <c r="A2" s="25">
        <v>46214</v>
      </c>
      <c r="B2" s="26" t="s">
        <v>433</v>
      </c>
      <c r="C2" s="2" t="s">
        <v>1095</v>
      </c>
      <c r="D2" s="8">
        <f>AVERAGE(N7,N13,N48,N56,N23,N61,N29,N36,N43,N68)</f>
        <v>152.06750183419123</v>
      </c>
      <c r="E2" s="9" t="s">
        <v>0</v>
      </c>
      <c r="F2" s="10">
        <f>F1/D1</f>
        <v>34.490058561813129</v>
      </c>
      <c r="G2" s="1" t="s">
        <v>1096</v>
      </c>
      <c r="H2" s="239">
        <f>COUNT(H5:H68)</f>
        <v>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SUM(Y7+Y13+Y23+Y29+Y36+Y43+Y48+Y56+Y61+Y68)</f>
        <v>0</v>
      </c>
      <c r="Z2" s="11">
        <f>SUM(Z7+Z13+Z23+Z29+Z36+Z43+Z48+Z56+Z61+Z68)</f>
        <v>0</v>
      </c>
      <c r="AA2" s="655"/>
      <c r="AB2" s="655"/>
      <c r="AC2" s="11">
        <f>SUM(AC7+AC13+AC23+AC29+AC36+AC43+AC48+AC56+AC61+AC68)</f>
        <v>54</v>
      </c>
      <c r="AD2" s="11">
        <f>SUM(AD7+AD13+AD23+AD29+AD36+AD43+AD48+AD56+AD61+AD68)</f>
        <v>0</v>
      </c>
      <c r="AE2" s="656"/>
      <c r="AF2" s="656"/>
      <c r="AG2" s="656"/>
    </row>
    <row r="3" spans="1:33" ht="40.5" customHeight="1">
      <c r="A3" s="612" t="s">
        <v>1097</v>
      </c>
      <c r="B3" s="612" t="s">
        <v>1098</v>
      </c>
      <c r="C3" s="612" t="s">
        <v>1099</v>
      </c>
      <c r="D3" s="612"/>
      <c r="E3" s="652" t="s">
        <v>1100</v>
      </c>
      <c r="F3" s="612" t="s">
        <v>1101</v>
      </c>
      <c r="G3" s="652" t="s">
        <v>149</v>
      </c>
      <c r="H3" s="645" t="s">
        <v>1102</v>
      </c>
      <c r="I3" s="644" t="s">
        <v>1103</v>
      </c>
      <c r="J3" s="641" t="s">
        <v>355</v>
      </c>
      <c r="K3" s="650" t="s">
        <v>1095</v>
      </c>
      <c r="L3" s="644" t="s">
        <v>1103</v>
      </c>
      <c r="M3" s="641" t="s">
        <v>1104</v>
      </c>
      <c r="N3" s="650" t="s">
        <v>1095</v>
      </c>
      <c r="O3" s="644" t="s">
        <v>1103</v>
      </c>
      <c r="P3" s="650" t="s">
        <v>1095</v>
      </c>
      <c r="Q3" s="642" t="s">
        <v>1105</v>
      </c>
      <c r="R3" s="621" t="s">
        <v>1106</v>
      </c>
      <c r="S3" s="612" t="s">
        <v>1</v>
      </c>
      <c r="T3" s="612"/>
      <c r="U3" s="645" t="s">
        <v>2</v>
      </c>
      <c r="V3" s="645" t="s">
        <v>1107</v>
      </c>
      <c r="W3" s="612" t="s">
        <v>1108</v>
      </c>
      <c r="X3" s="612"/>
      <c r="Y3" s="646" t="s">
        <v>1109</v>
      </c>
      <c r="Z3" s="611"/>
      <c r="AA3" s="647" t="s">
        <v>1110</v>
      </c>
      <c r="AB3" s="648"/>
      <c r="AC3" s="646" t="s">
        <v>1111</v>
      </c>
      <c r="AD3" s="611"/>
      <c r="AE3" s="641" t="s">
        <v>1112</v>
      </c>
      <c r="AF3" s="642" t="s">
        <v>1113</v>
      </c>
      <c r="AG3" s="621" t="s">
        <v>1106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29" t="s">
        <v>3</v>
      </c>
      <c r="T4" s="229" t="s">
        <v>4</v>
      </c>
      <c r="U4" s="645"/>
      <c r="V4" s="645"/>
      <c r="W4" s="229" t="s">
        <v>1114</v>
      </c>
      <c r="X4" s="229" t="s">
        <v>1115</v>
      </c>
      <c r="Y4" s="235" t="s">
        <v>1116</v>
      </c>
      <c r="Z4" s="235" t="s">
        <v>1070</v>
      </c>
      <c r="AA4" s="649"/>
      <c r="AB4" s="648"/>
      <c r="AC4" s="235" t="s">
        <v>1117</v>
      </c>
      <c r="AD4" s="235" t="s">
        <v>1118</v>
      </c>
      <c r="AE4" s="641"/>
      <c r="AF4" s="642"/>
      <c r="AG4" s="621"/>
    </row>
    <row r="5" spans="1:33">
      <c r="A5" s="643" t="s">
        <v>1119</v>
      </c>
      <c r="B5" s="27" t="s">
        <v>5</v>
      </c>
      <c r="C5" s="657" t="s">
        <v>14</v>
      </c>
      <c r="D5" s="657"/>
      <c r="E5" s="27">
        <v>50.92</v>
      </c>
      <c r="F5" s="240">
        <v>2409</v>
      </c>
      <c r="G5" s="229">
        <f t="shared" ref="G5:G6" si="0">E5*F5</f>
        <v>122666.28</v>
      </c>
      <c r="H5" s="31" t="s">
        <v>40</v>
      </c>
      <c r="I5" s="237">
        <v>15</v>
      </c>
      <c r="J5" s="29">
        <v>2000</v>
      </c>
      <c r="K5" s="12">
        <f t="shared" ref="K5:K68" si="1">J5/I5</f>
        <v>133.33333333333334</v>
      </c>
      <c r="L5" s="237">
        <v>15</v>
      </c>
      <c r="M5" s="13">
        <f t="shared" ref="M5:M6" si="2">F5/V5*60</f>
        <v>1901.8421052631566</v>
      </c>
      <c r="N5" s="12">
        <f t="shared" ref="N5:N68" si="3">M5/L5</f>
        <v>126.78947368421044</v>
      </c>
      <c r="O5" s="14">
        <f t="shared" ref="O5:O68" si="4">L5-I5</f>
        <v>0</v>
      </c>
      <c r="P5" s="15">
        <f t="shared" ref="P5:P68" si="5">N5-K5</f>
        <v>-6.5438596491229077</v>
      </c>
      <c r="Q5" s="228">
        <f t="shared" ref="Q5:Q68" si="6">N5/K5</f>
        <v>0.95092105263157822</v>
      </c>
      <c r="R5" s="616">
        <f>Q7</f>
        <v>0.95411437246963515</v>
      </c>
      <c r="S5" s="32">
        <v>0.70833333333333337</v>
      </c>
      <c r="T5" s="32">
        <v>0.76111111111111118</v>
      </c>
      <c r="U5" s="229"/>
      <c r="V5" s="238">
        <f t="shared" ref="V5:V6" si="7">(T5-S5)*24*60</f>
        <v>76.000000000000057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5" si="8">M5-J5</f>
        <v>-98.157894736843446</v>
      </c>
      <c r="AF5" s="228">
        <f t="shared" ref="AF5:AF68" si="9">M5/J5</f>
        <v>0.95092105263157822</v>
      </c>
      <c r="AG5" s="616">
        <f>AF7</f>
        <v>0.95411437246963515</v>
      </c>
    </row>
    <row r="6" spans="1:33">
      <c r="A6" s="644" t="s">
        <v>1120</v>
      </c>
      <c r="B6" s="27" t="s">
        <v>5</v>
      </c>
      <c r="C6" s="657" t="s">
        <v>19</v>
      </c>
      <c r="D6" s="657"/>
      <c r="E6" s="27">
        <v>50.98</v>
      </c>
      <c r="F6" s="240">
        <v>2489</v>
      </c>
      <c r="G6" s="229">
        <f t="shared" si="0"/>
        <v>126889.21999999999</v>
      </c>
      <c r="H6" s="31" t="s">
        <v>40</v>
      </c>
      <c r="I6" s="237">
        <v>16</v>
      </c>
      <c r="J6" s="29">
        <v>2000</v>
      </c>
      <c r="K6" s="12">
        <f t="shared" si="1"/>
        <v>125</v>
      </c>
      <c r="L6" s="237">
        <v>16</v>
      </c>
      <c r="M6" s="13">
        <f t="shared" si="2"/>
        <v>1914.6153846153836</v>
      </c>
      <c r="N6" s="12">
        <f t="shared" si="3"/>
        <v>119.66346153846148</v>
      </c>
      <c r="O6" s="14">
        <f t="shared" si="4"/>
        <v>0</v>
      </c>
      <c r="P6" s="15">
        <f t="shared" si="5"/>
        <v>-5.3365384615385238</v>
      </c>
      <c r="Q6" s="228">
        <f t="shared" si="6"/>
        <v>0.95730769230769186</v>
      </c>
      <c r="R6" s="616"/>
      <c r="S6" s="32">
        <v>0.76458333333333339</v>
      </c>
      <c r="T6" s="32">
        <v>0.81875000000000009</v>
      </c>
      <c r="U6" s="229">
        <f t="shared" ref="U6" si="10">IF(S6=TIME(17,0,0),"",(S6-T5)*24*60)</f>
        <v>4.9999999999999822</v>
      </c>
      <c r="V6" s="238">
        <f t="shared" si="7"/>
        <v>78.000000000000043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-85.384615384616382</v>
      </c>
      <c r="AF6" s="228">
        <f t="shared" si="9"/>
        <v>0.95730769230769186</v>
      </c>
      <c r="AG6" s="616"/>
    </row>
    <row r="7" spans="1:33">
      <c r="A7" s="644" t="s">
        <v>1120</v>
      </c>
      <c r="B7" s="27" t="s">
        <v>1121</v>
      </c>
      <c r="C7" s="658"/>
      <c r="D7" s="658"/>
      <c r="E7" s="236"/>
      <c r="F7" s="28"/>
      <c r="G7" s="12"/>
      <c r="H7" s="240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1908.2287449392702</v>
      </c>
      <c r="N7" s="12">
        <f t="shared" si="3"/>
        <v>123.11153193156582</v>
      </c>
      <c r="O7" s="14">
        <f t="shared" si="4"/>
        <v>0</v>
      </c>
      <c r="P7" s="15">
        <f t="shared" si="5"/>
        <v>-5.9207261329503069</v>
      </c>
      <c r="Q7" s="228">
        <f t="shared" si="6"/>
        <v>0.95411437246963515</v>
      </c>
      <c r="R7" s="616"/>
      <c r="S7" s="32"/>
      <c r="T7" s="32"/>
      <c r="U7" s="229"/>
      <c r="V7" s="23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-91.7712550607298</v>
      </c>
      <c r="AF7" s="228">
        <f t="shared" si="9"/>
        <v>0.95411437246963515</v>
      </c>
      <c r="AG7" s="616"/>
    </row>
    <row r="8" spans="1:33" ht="15.75" customHeight="1">
      <c r="A8" s="640" t="s">
        <v>1122</v>
      </c>
      <c r="B8" s="27" t="s">
        <v>8</v>
      </c>
      <c r="C8" s="638" t="s">
        <v>10</v>
      </c>
      <c r="D8" s="639"/>
      <c r="E8" s="27">
        <v>39.799999999999997</v>
      </c>
      <c r="F8" s="240">
        <v>3700</v>
      </c>
      <c r="G8" s="229">
        <f t="shared" ref="G8:G12" si="11">E8*F8</f>
        <v>147260</v>
      </c>
      <c r="H8" s="31">
        <v>2</v>
      </c>
      <c r="I8" s="237">
        <v>17</v>
      </c>
      <c r="J8" s="29">
        <v>1500</v>
      </c>
      <c r="K8" s="12">
        <f t="shared" si="1"/>
        <v>88.235294117647058</v>
      </c>
      <c r="L8" s="237">
        <v>17</v>
      </c>
      <c r="M8" s="13">
        <f t="shared" ref="M8:M12" si="12">F8/V8*60</f>
        <v>1432.2580645161293</v>
      </c>
      <c r="N8" s="12">
        <f t="shared" si="3"/>
        <v>84.250474383301722</v>
      </c>
      <c r="O8" s="14">
        <f t="shared" si="4"/>
        <v>0</v>
      </c>
      <c r="P8" s="15">
        <f t="shared" si="5"/>
        <v>-3.9848197343453364</v>
      </c>
      <c r="Q8" s="228">
        <f t="shared" si="6"/>
        <v>0.95483870967741957</v>
      </c>
      <c r="R8" s="616">
        <f>Q13</f>
        <v>0.95391910778620637</v>
      </c>
      <c r="S8" s="32">
        <v>8.3333333333333329E-2</v>
      </c>
      <c r="T8" s="32">
        <v>0.19097222222222221</v>
      </c>
      <c r="U8" s="229"/>
      <c r="V8" s="238">
        <f t="shared" ref="V8:V12" si="13">(T8-S8)*24*60</f>
        <v>154.99999999999997</v>
      </c>
      <c r="W8" s="16">
        <f>T8</f>
        <v>0.19097222222222221</v>
      </c>
      <c r="X8" s="16">
        <f>S9</f>
        <v>0.20902777777777776</v>
      </c>
      <c r="Y8" s="16"/>
      <c r="Z8" s="16"/>
      <c r="AA8" s="612"/>
      <c r="AB8" s="612"/>
      <c r="AC8" s="136">
        <v>5</v>
      </c>
      <c r="AD8" s="18"/>
      <c r="AE8" s="14">
        <f t="shared" si="8"/>
        <v>-67.741935483870748</v>
      </c>
      <c r="AF8" s="228">
        <f t="shared" si="9"/>
        <v>0.95483870967741946</v>
      </c>
      <c r="AG8" s="616">
        <f>AF13</f>
        <v>0.95391910778620637</v>
      </c>
    </row>
    <row r="9" spans="1:33" ht="15.75" customHeight="1">
      <c r="A9" s="640" t="s">
        <v>1123</v>
      </c>
      <c r="B9" s="27" t="s">
        <v>8</v>
      </c>
      <c r="C9" s="638" t="s">
        <v>63</v>
      </c>
      <c r="D9" s="639"/>
      <c r="E9" s="27">
        <v>39.46</v>
      </c>
      <c r="F9" s="240">
        <v>3770</v>
      </c>
      <c r="G9" s="229">
        <f t="shared" si="11"/>
        <v>148764.20000000001</v>
      </c>
      <c r="H9" s="31" t="s">
        <v>40</v>
      </c>
      <c r="I9" s="237">
        <v>15</v>
      </c>
      <c r="J9" s="29">
        <v>1500</v>
      </c>
      <c r="K9" s="12">
        <f t="shared" si="1"/>
        <v>100</v>
      </c>
      <c r="L9" s="237">
        <v>15</v>
      </c>
      <c r="M9" s="13">
        <f t="shared" si="12"/>
        <v>1431.6455696202531</v>
      </c>
      <c r="N9" s="12">
        <f t="shared" si="3"/>
        <v>95.443037974683548</v>
      </c>
      <c r="O9" s="14">
        <f t="shared" si="4"/>
        <v>0</v>
      </c>
      <c r="P9" s="15">
        <f t="shared" si="5"/>
        <v>-4.5569620253164516</v>
      </c>
      <c r="Q9" s="228">
        <f t="shared" si="6"/>
        <v>0.95443037974683553</v>
      </c>
      <c r="R9" s="616"/>
      <c r="S9" s="32">
        <v>0.20902777777777776</v>
      </c>
      <c r="T9" s="32">
        <v>0.31874999999999998</v>
      </c>
      <c r="U9" s="229">
        <f t="shared" ref="U9:U12" si="14">IF(S9=TIME(17,0,0),"",(S9-T8)*24*60)</f>
        <v>25.999999999999986</v>
      </c>
      <c r="V9" s="238">
        <f t="shared" si="13"/>
        <v>158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-68.354430379746873</v>
      </c>
      <c r="AF9" s="228">
        <f t="shared" si="9"/>
        <v>0.95443037974683542</v>
      </c>
      <c r="AG9" s="616"/>
    </row>
    <row r="10" spans="1:33" ht="15.75" customHeight="1">
      <c r="A10" s="640" t="s">
        <v>1123</v>
      </c>
      <c r="B10" s="27" t="s">
        <v>8</v>
      </c>
      <c r="C10" s="638" t="s">
        <v>74</v>
      </c>
      <c r="D10" s="639"/>
      <c r="E10" s="27">
        <v>39.520000000000003</v>
      </c>
      <c r="F10" s="240">
        <v>2915</v>
      </c>
      <c r="G10" s="229">
        <f t="shared" si="11"/>
        <v>115200.8</v>
      </c>
      <c r="H10" s="31" t="s">
        <v>40</v>
      </c>
      <c r="I10" s="237">
        <v>19</v>
      </c>
      <c r="J10" s="29">
        <v>1500</v>
      </c>
      <c r="K10" s="12">
        <f t="shared" si="1"/>
        <v>78.94736842105263</v>
      </c>
      <c r="L10" s="237">
        <v>19</v>
      </c>
      <c r="M10" s="13">
        <f t="shared" si="12"/>
        <v>1433.6065573770495</v>
      </c>
      <c r="N10" s="12">
        <f t="shared" si="3"/>
        <v>75.452976704055231</v>
      </c>
      <c r="O10" s="14">
        <f t="shared" si="4"/>
        <v>0</v>
      </c>
      <c r="P10" s="15">
        <f t="shared" si="5"/>
        <v>-3.4943917169973986</v>
      </c>
      <c r="Q10" s="228">
        <f t="shared" si="6"/>
        <v>0.955737704918033</v>
      </c>
      <c r="R10" s="616"/>
      <c r="S10" s="32">
        <v>0.32291666666666663</v>
      </c>
      <c r="T10" s="32">
        <v>0.40763888888888883</v>
      </c>
      <c r="U10" s="229">
        <f t="shared" si="14"/>
        <v>5.9999999999999787</v>
      </c>
      <c r="V10" s="238">
        <f t="shared" si="13"/>
        <v>121.99999999999997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-66.393442622950488</v>
      </c>
      <c r="AF10" s="228">
        <f t="shared" si="9"/>
        <v>0.955737704918033</v>
      </c>
      <c r="AG10" s="616"/>
    </row>
    <row r="11" spans="1:33" ht="15.75" customHeight="1">
      <c r="A11" s="640" t="s">
        <v>1123</v>
      </c>
      <c r="B11" s="27" t="s">
        <v>8</v>
      </c>
      <c r="C11" s="638" t="s">
        <v>9</v>
      </c>
      <c r="D11" s="639"/>
      <c r="E11" s="27">
        <v>39.619999999999997</v>
      </c>
      <c r="F11" s="240">
        <v>2500</v>
      </c>
      <c r="G11" s="229">
        <f t="shared" si="11"/>
        <v>99050</v>
      </c>
      <c r="H11" s="31">
        <v>2</v>
      </c>
      <c r="I11" s="237">
        <v>19</v>
      </c>
      <c r="J11" s="29">
        <v>1500</v>
      </c>
      <c r="K11" s="12">
        <f t="shared" si="1"/>
        <v>78.94736842105263</v>
      </c>
      <c r="L11" s="237">
        <v>19</v>
      </c>
      <c r="M11" s="13">
        <f t="shared" si="12"/>
        <v>1428.5714285714282</v>
      </c>
      <c r="N11" s="12">
        <f t="shared" si="3"/>
        <v>75.187969924812009</v>
      </c>
      <c r="O11" s="14">
        <f t="shared" si="4"/>
        <v>0</v>
      </c>
      <c r="P11" s="15">
        <f t="shared" si="5"/>
        <v>-3.7593984962406211</v>
      </c>
      <c r="Q11" s="228">
        <f t="shared" si="6"/>
        <v>0.95238095238095211</v>
      </c>
      <c r="R11" s="616"/>
      <c r="S11" s="32">
        <v>0.41180555555555548</v>
      </c>
      <c r="T11" s="32">
        <v>0.48472222222222217</v>
      </c>
      <c r="U11" s="229">
        <f t="shared" si="14"/>
        <v>5.9999999999999787</v>
      </c>
      <c r="V11" s="238">
        <f t="shared" si="13"/>
        <v>105.00000000000003</v>
      </c>
      <c r="W11" s="16">
        <f>T11</f>
        <v>0.48472222222222217</v>
      </c>
      <c r="X11" s="16">
        <f>S12</f>
        <v>0.52569444444444435</v>
      </c>
      <c r="Y11" s="16"/>
      <c r="Z11" s="16"/>
      <c r="AA11" s="607"/>
      <c r="AB11" s="608"/>
      <c r="AC11" s="136"/>
      <c r="AD11" s="18"/>
      <c r="AE11" s="14">
        <f t="shared" si="8"/>
        <v>-71.428571428571786</v>
      </c>
      <c r="AF11" s="228">
        <f t="shared" si="9"/>
        <v>0.95238095238095211</v>
      </c>
      <c r="AG11" s="616"/>
    </row>
    <row r="12" spans="1:33" ht="15.75" customHeight="1">
      <c r="A12" s="640" t="s">
        <v>1123</v>
      </c>
      <c r="B12" s="27" t="s">
        <v>8</v>
      </c>
      <c r="C12" s="638" t="s">
        <v>9</v>
      </c>
      <c r="D12" s="639"/>
      <c r="E12" s="27">
        <v>39.619999999999997</v>
      </c>
      <c r="F12" s="240">
        <v>1833</v>
      </c>
      <c r="G12" s="229">
        <f t="shared" si="11"/>
        <v>72623.459999999992</v>
      </c>
      <c r="H12" s="31" t="s">
        <v>40</v>
      </c>
      <c r="I12" s="237">
        <v>19</v>
      </c>
      <c r="J12" s="29">
        <v>1500</v>
      </c>
      <c r="K12" s="12">
        <f t="shared" si="1"/>
        <v>78.94736842105263</v>
      </c>
      <c r="L12" s="237">
        <v>19</v>
      </c>
      <c r="M12" s="13">
        <f t="shared" si="12"/>
        <v>1428.3116883116875</v>
      </c>
      <c r="N12" s="12">
        <f t="shared" si="3"/>
        <v>75.174299384825659</v>
      </c>
      <c r="O12" s="14">
        <f t="shared" si="4"/>
        <v>0</v>
      </c>
      <c r="P12" s="15">
        <f t="shared" si="5"/>
        <v>-3.7730690362269712</v>
      </c>
      <c r="Q12" s="228">
        <f t="shared" si="6"/>
        <v>0.95220779220779173</v>
      </c>
      <c r="R12" s="616"/>
      <c r="S12" s="32">
        <v>0.52569444444444435</v>
      </c>
      <c r="T12" s="32">
        <v>0.57916666666666661</v>
      </c>
      <c r="U12" s="229">
        <f t="shared" si="14"/>
        <v>58.99999999999995</v>
      </c>
      <c r="V12" s="238">
        <f t="shared" si="13"/>
        <v>77.000000000000043</v>
      </c>
      <c r="W12" s="16"/>
      <c r="X12" s="16"/>
      <c r="Y12" s="19"/>
      <c r="Z12" s="19"/>
      <c r="AA12" s="607"/>
      <c r="AB12" s="608"/>
      <c r="AC12" s="136"/>
      <c r="AD12" s="18"/>
      <c r="AE12" s="14">
        <f t="shared" si="8"/>
        <v>-71.688311688312524</v>
      </c>
      <c r="AF12" s="228">
        <f t="shared" si="9"/>
        <v>0.95220779220779161</v>
      </c>
      <c r="AG12" s="616"/>
    </row>
    <row r="13" spans="1:33" ht="16.5" customHeight="1">
      <c r="A13" s="640" t="s">
        <v>1123</v>
      </c>
      <c r="B13" s="27" t="s">
        <v>1124</v>
      </c>
      <c r="C13" s="658"/>
      <c r="D13" s="658"/>
      <c r="E13" s="236"/>
      <c r="F13" s="29"/>
      <c r="G13" s="13"/>
      <c r="H13" s="240"/>
      <c r="I13" s="21">
        <v>17.8</v>
      </c>
      <c r="J13" s="29">
        <v>1500</v>
      </c>
      <c r="K13" s="12">
        <f t="shared" si="1"/>
        <v>84.269662921348313</v>
      </c>
      <c r="L13" s="21">
        <v>17.8</v>
      </c>
      <c r="M13" s="13">
        <f>AVERAGE(M8:M12)</f>
        <v>1430.8786616793095</v>
      </c>
      <c r="N13" s="12">
        <f t="shared" si="3"/>
        <v>80.386441667376943</v>
      </c>
      <c r="O13" s="14">
        <f t="shared" si="4"/>
        <v>0</v>
      </c>
      <c r="P13" s="15">
        <f t="shared" si="5"/>
        <v>-3.8832212539713709</v>
      </c>
      <c r="Q13" s="228">
        <f t="shared" si="6"/>
        <v>0.95391910778620637</v>
      </c>
      <c r="R13" s="616"/>
      <c r="S13" s="32"/>
      <c r="T13" s="32"/>
      <c r="U13" s="12"/>
      <c r="V13" s="238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-69.121338320690484</v>
      </c>
      <c r="AF13" s="228">
        <f t="shared" si="9"/>
        <v>0.95391910778620637</v>
      </c>
      <c r="AG13" s="616"/>
    </row>
    <row r="14" spans="1:33" ht="16.5" customHeight="1">
      <c r="A14" s="636" t="s">
        <v>1125</v>
      </c>
      <c r="B14" s="240" t="s">
        <v>1134</v>
      </c>
      <c r="C14" s="659" t="s">
        <v>1035</v>
      </c>
      <c r="D14" s="659"/>
      <c r="E14" s="27">
        <v>31.11</v>
      </c>
      <c r="F14" s="240">
        <v>3948</v>
      </c>
      <c r="G14" s="229">
        <f t="shared" ref="G14:G22" si="15">E14*F14</f>
        <v>122822.28</v>
      </c>
      <c r="H14" s="31" t="s">
        <v>40</v>
      </c>
      <c r="I14" s="237">
        <v>14</v>
      </c>
      <c r="J14" s="29">
        <v>2000</v>
      </c>
      <c r="K14" s="12">
        <f t="shared" si="1"/>
        <v>142.85714285714286</v>
      </c>
      <c r="L14" s="237">
        <v>14</v>
      </c>
      <c r="M14" s="13">
        <f t="shared" ref="M14:M22" si="16">F14/V14*60</f>
        <v>1910.3225806451612</v>
      </c>
      <c r="N14" s="12">
        <f t="shared" si="3"/>
        <v>136.45161290322579</v>
      </c>
      <c r="O14" s="14">
        <f t="shared" si="4"/>
        <v>0</v>
      </c>
      <c r="P14" s="15">
        <f t="shared" si="5"/>
        <v>-6.4055299539170676</v>
      </c>
      <c r="Q14" s="228">
        <f t="shared" si="6"/>
        <v>0.95516129032258057</v>
      </c>
      <c r="R14" s="616">
        <f>Q23</f>
        <v>0.95798121870478548</v>
      </c>
      <c r="S14" s="32">
        <v>8.3333333333333329E-2</v>
      </c>
      <c r="T14" s="32">
        <v>0.16944444444444445</v>
      </c>
      <c r="U14" s="229"/>
      <c r="V14" s="238">
        <f t="shared" ref="V14:V22" si="17">(T14-S14)*24*60</f>
        <v>124.00000000000001</v>
      </c>
      <c r="W14" s="16">
        <f>T14</f>
        <v>0.16944444444444445</v>
      </c>
      <c r="X14" s="16">
        <f>S15</f>
        <v>0.19097222222222224</v>
      </c>
      <c r="Y14" s="20"/>
      <c r="Z14" s="20"/>
      <c r="AA14" s="612"/>
      <c r="AB14" s="612"/>
      <c r="AC14" s="136">
        <v>9</v>
      </c>
      <c r="AD14" s="18"/>
      <c r="AE14" s="14">
        <f t="shared" si="8"/>
        <v>-89.677419354838776</v>
      </c>
      <c r="AF14" s="228">
        <f t="shared" si="9"/>
        <v>0.95516129032258057</v>
      </c>
      <c r="AG14" s="616">
        <f>AF23</f>
        <v>0.95798121870478548</v>
      </c>
    </row>
    <row r="15" spans="1:33" ht="16.5" customHeight="1">
      <c r="A15" s="637" t="s">
        <v>1126</v>
      </c>
      <c r="B15" s="240" t="s">
        <v>1134</v>
      </c>
      <c r="C15" s="659" t="s">
        <v>1036</v>
      </c>
      <c r="D15" s="659"/>
      <c r="E15" s="27">
        <v>38.99</v>
      </c>
      <c r="F15" s="240">
        <v>1554</v>
      </c>
      <c r="G15" s="229">
        <f t="shared" si="15"/>
        <v>60590.460000000006</v>
      </c>
      <c r="H15" s="31" t="s">
        <v>40</v>
      </c>
      <c r="I15" s="237">
        <v>14</v>
      </c>
      <c r="J15" s="29">
        <v>2000</v>
      </c>
      <c r="K15" s="12">
        <f t="shared" si="1"/>
        <v>142.85714285714286</v>
      </c>
      <c r="L15" s="237">
        <v>14</v>
      </c>
      <c r="M15" s="13">
        <f t="shared" si="16"/>
        <v>1942.5000000000005</v>
      </c>
      <c r="N15" s="12">
        <f t="shared" si="3"/>
        <v>138.75000000000003</v>
      </c>
      <c r="O15" s="14">
        <f t="shared" si="4"/>
        <v>0</v>
      </c>
      <c r="P15" s="15">
        <f t="shared" si="5"/>
        <v>-4.1071428571428328</v>
      </c>
      <c r="Q15" s="228">
        <f t="shared" si="6"/>
        <v>0.97125000000000017</v>
      </c>
      <c r="R15" s="616"/>
      <c r="S15" s="32">
        <v>0.19097222222222224</v>
      </c>
      <c r="T15" s="32">
        <v>0.22430555555555556</v>
      </c>
      <c r="U15" s="229">
        <f t="shared" ref="U15:U22" si="18">IF(S15=TIME(17,0,0),"",(S15-T14)*24*60)</f>
        <v>31.000000000000011</v>
      </c>
      <c r="V15" s="238">
        <f t="shared" si="17"/>
        <v>47.999999999999986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-57.499999999999545</v>
      </c>
      <c r="AF15" s="228">
        <f t="shared" si="9"/>
        <v>0.97125000000000028</v>
      </c>
      <c r="AG15" s="616"/>
    </row>
    <row r="16" spans="1:33" ht="16.5" customHeight="1">
      <c r="A16" s="637" t="s">
        <v>1126</v>
      </c>
      <c r="B16" s="240" t="s">
        <v>11</v>
      </c>
      <c r="C16" s="659" t="s">
        <v>67</v>
      </c>
      <c r="D16" s="659"/>
      <c r="E16" s="27">
        <v>38.619999999999997</v>
      </c>
      <c r="F16" s="240">
        <v>2147</v>
      </c>
      <c r="G16" s="229">
        <f t="shared" si="15"/>
        <v>82917.14</v>
      </c>
      <c r="H16" s="31" t="s">
        <v>40</v>
      </c>
      <c r="I16" s="237">
        <v>24</v>
      </c>
      <c r="J16" s="29">
        <v>1500</v>
      </c>
      <c r="K16" s="12">
        <f t="shared" si="1"/>
        <v>62.5</v>
      </c>
      <c r="L16" s="237">
        <v>24</v>
      </c>
      <c r="M16" s="13">
        <f t="shared" si="16"/>
        <v>1431.3333333333333</v>
      </c>
      <c r="N16" s="12">
        <f t="shared" si="3"/>
        <v>59.638888888888886</v>
      </c>
      <c r="O16" s="14">
        <f t="shared" si="4"/>
        <v>0</v>
      </c>
      <c r="P16" s="15">
        <f t="shared" si="5"/>
        <v>-2.8611111111111143</v>
      </c>
      <c r="Q16" s="228">
        <f t="shared" si="6"/>
        <v>0.95422222222222219</v>
      </c>
      <c r="R16" s="616"/>
      <c r="S16" s="32">
        <v>0.22986111111111113</v>
      </c>
      <c r="T16" s="32">
        <v>0.29236111111111113</v>
      </c>
      <c r="U16" s="229">
        <f t="shared" si="18"/>
        <v>8.0000000000000107</v>
      </c>
      <c r="V16" s="238">
        <f t="shared" si="17"/>
        <v>90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-68.666666666666742</v>
      </c>
      <c r="AF16" s="228">
        <f t="shared" si="9"/>
        <v>0.95422222222222219</v>
      </c>
      <c r="AG16" s="616"/>
    </row>
    <row r="17" spans="1:33" ht="16.5" customHeight="1">
      <c r="A17" s="637" t="s">
        <v>1126</v>
      </c>
      <c r="B17" s="240" t="s">
        <v>11</v>
      </c>
      <c r="C17" s="659" t="s">
        <v>12</v>
      </c>
      <c r="D17" s="659"/>
      <c r="E17" s="27">
        <v>41</v>
      </c>
      <c r="F17" s="240">
        <v>1914</v>
      </c>
      <c r="G17" s="229">
        <f t="shared" si="15"/>
        <v>78474</v>
      </c>
      <c r="H17" s="31" t="s">
        <v>40</v>
      </c>
      <c r="I17" s="237">
        <v>26</v>
      </c>
      <c r="J17" s="29">
        <v>1500</v>
      </c>
      <c r="K17" s="12">
        <f t="shared" si="1"/>
        <v>57.692307692307693</v>
      </c>
      <c r="L17" s="237">
        <v>26</v>
      </c>
      <c r="M17" s="13">
        <f t="shared" si="16"/>
        <v>1435.5000000000007</v>
      </c>
      <c r="N17" s="12">
        <f t="shared" si="3"/>
        <v>55.211538461538488</v>
      </c>
      <c r="O17" s="14">
        <f t="shared" si="4"/>
        <v>0</v>
      </c>
      <c r="P17" s="15">
        <f t="shared" si="5"/>
        <v>-2.4807692307692051</v>
      </c>
      <c r="Q17" s="228">
        <f t="shared" si="6"/>
        <v>0.95700000000000041</v>
      </c>
      <c r="R17" s="616"/>
      <c r="S17" s="32">
        <v>0.29791666666666666</v>
      </c>
      <c r="T17" s="32">
        <v>0.35347222222222219</v>
      </c>
      <c r="U17" s="229">
        <f t="shared" si="18"/>
        <v>7.9999999999999716</v>
      </c>
      <c r="V17" s="238">
        <f t="shared" si="17"/>
        <v>79.999999999999957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-64.499999999999318</v>
      </c>
      <c r="AF17" s="228">
        <f t="shared" si="9"/>
        <v>0.95700000000000041</v>
      </c>
      <c r="AG17" s="616"/>
    </row>
    <row r="18" spans="1:33" ht="16.5" customHeight="1">
      <c r="A18" s="637" t="s">
        <v>1126</v>
      </c>
      <c r="B18" s="240" t="s">
        <v>5</v>
      </c>
      <c r="C18" s="659" t="s">
        <v>66</v>
      </c>
      <c r="D18" s="659"/>
      <c r="E18" s="27">
        <v>37.03</v>
      </c>
      <c r="F18" s="240">
        <v>3552</v>
      </c>
      <c r="G18" s="229">
        <f t="shared" si="15"/>
        <v>131530.56</v>
      </c>
      <c r="H18" s="31" t="s">
        <v>40</v>
      </c>
      <c r="I18" s="237">
        <v>13</v>
      </c>
      <c r="J18" s="29">
        <v>1500</v>
      </c>
      <c r="K18" s="12">
        <f t="shared" si="1"/>
        <v>115.38461538461539</v>
      </c>
      <c r="L18" s="237">
        <v>13</v>
      </c>
      <c r="M18" s="13">
        <f t="shared" si="16"/>
        <v>1430.3355704697983</v>
      </c>
      <c r="N18" s="12">
        <f t="shared" si="3"/>
        <v>110.0258131130614</v>
      </c>
      <c r="O18" s="14">
        <f t="shared" si="4"/>
        <v>0</v>
      </c>
      <c r="P18" s="15">
        <f t="shared" si="5"/>
        <v>-5.3588022715539836</v>
      </c>
      <c r="Q18" s="228">
        <f t="shared" si="6"/>
        <v>0.95355704697986543</v>
      </c>
      <c r="R18" s="616"/>
      <c r="S18" s="32">
        <v>0.3569444444444444</v>
      </c>
      <c r="T18" s="32">
        <v>0.46041666666666664</v>
      </c>
      <c r="U18" s="229">
        <f t="shared" si="18"/>
        <v>4.9999999999999822</v>
      </c>
      <c r="V18" s="238">
        <f t="shared" si="17"/>
        <v>149.00000000000003</v>
      </c>
      <c r="W18" s="16">
        <f>T18</f>
        <v>0.46041666666666664</v>
      </c>
      <c r="X18" s="16">
        <f>S19</f>
        <v>0.50069444444444444</v>
      </c>
      <c r="Y18" s="16"/>
      <c r="Z18" s="16"/>
      <c r="AA18" s="612"/>
      <c r="AB18" s="612"/>
      <c r="AC18" s="136"/>
      <c r="AD18" s="18"/>
      <c r="AE18" s="14">
        <f t="shared" si="8"/>
        <v>-69.664429530201687</v>
      </c>
      <c r="AF18" s="228">
        <f t="shared" si="9"/>
        <v>0.95355704697986554</v>
      </c>
      <c r="AG18" s="616"/>
    </row>
    <row r="19" spans="1:33" ht="16.5" customHeight="1">
      <c r="A19" s="637" t="s">
        <v>1126</v>
      </c>
      <c r="B19" s="240" t="s">
        <v>8</v>
      </c>
      <c r="C19" s="106" t="s">
        <v>10</v>
      </c>
      <c r="D19" s="107"/>
      <c r="E19" s="27">
        <v>39.799999999999997</v>
      </c>
      <c r="F19" s="240">
        <v>2810</v>
      </c>
      <c r="G19" s="229">
        <f t="shared" si="15"/>
        <v>111837.99999999999</v>
      </c>
      <c r="H19" s="31" t="s">
        <v>40</v>
      </c>
      <c r="I19" s="237">
        <v>17</v>
      </c>
      <c r="J19" s="29">
        <v>1500</v>
      </c>
      <c r="K19" s="12">
        <f t="shared" si="1"/>
        <v>88.235294117647058</v>
      </c>
      <c r="L19" s="237">
        <v>17</v>
      </c>
      <c r="M19" s="13">
        <f t="shared" si="16"/>
        <v>1428.8135593220331</v>
      </c>
      <c r="N19" s="12">
        <f t="shared" si="3"/>
        <v>84.047856430707839</v>
      </c>
      <c r="O19" s="14">
        <f t="shared" si="4"/>
        <v>0</v>
      </c>
      <c r="P19" s="15">
        <f t="shared" si="5"/>
        <v>-4.1874376869392194</v>
      </c>
      <c r="Q19" s="228">
        <f t="shared" si="6"/>
        <v>0.95254237288135546</v>
      </c>
      <c r="R19" s="616"/>
      <c r="S19" s="32">
        <v>0.50069444444444444</v>
      </c>
      <c r="T19" s="32">
        <v>0.58263888888888893</v>
      </c>
      <c r="U19" s="229">
        <f t="shared" si="18"/>
        <v>58.000000000000036</v>
      </c>
      <c r="V19" s="238">
        <f t="shared" si="17"/>
        <v>118.00000000000006</v>
      </c>
      <c r="W19" s="16"/>
      <c r="X19" s="16"/>
      <c r="Y19" s="19"/>
      <c r="Z19" s="19"/>
      <c r="AA19" s="232"/>
      <c r="AB19" s="233"/>
      <c r="AC19" s="136"/>
      <c r="AD19" s="18"/>
      <c r="AE19" s="14">
        <f t="shared" si="8"/>
        <v>-71.186440677966857</v>
      </c>
      <c r="AF19" s="228">
        <f t="shared" si="9"/>
        <v>0.95254237288135546</v>
      </c>
      <c r="AG19" s="616"/>
    </row>
    <row r="20" spans="1:33" ht="16.5" customHeight="1">
      <c r="A20" s="637" t="s">
        <v>1125</v>
      </c>
      <c r="B20" s="240" t="s">
        <v>5</v>
      </c>
      <c r="C20" s="106" t="s">
        <v>6</v>
      </c>
      <c r="D20" s="107"/>
      <c r="E20" s="27">
        <v>50.67</v>
      </c>
      <c r="F20" s="240">
        <v>1654</v>
      </c>
      <c r="G20" s="229">
        <f t="shared" si="15"/>
        <v>83808.180000000008</v>
      </c>
      <c r="H20" s="31" t="s">
        <v>40</v>
      </c>
      <c r="I20" s="237">
        <v>17</v>
      </c>
      <c r="J20" s="29">
        <v>2000</v>
      </c>
      <c r="K20" s="12">
        <f t="shared" si="1"/>
        <v>117.64705882352941</v>
      </c>
      <c r="L20" s="237">
        <v>17</v>
      </c>
      <c r="M20" s="13">
        <f t="shared" si="16"/>
        <v>1908.4615384615395</v>
      </c>
      <c r="N20" s="12">
        <f t="shared" si="3"/>
        <v>112.26244343891409</v>
      </c>
      <c r="O20" s="14">
        <f t="shared" si="4"/>
        <v>0</v>
      </c>
      <c r="P20" s="15">
        <f t="shared" si="5"/>
        <v>-5.3846153846153157</v>
      </c>
      <c r="Q20" s="228">
        <f t="shared" si="6"/>
        <v>0.95423076923076977</v>
      </c>
      <c r="R20" s="616"/>
      <c r="S20" s="32">
        <v>0.70833333333333337</v>
      </c>
      <c r="T20" s="32">
        <v>0.74444444444444446</v>
      </c>
      <c r="U20" s="229" t="str">
        <f t="shared" si="18"/>
        <v/>
      </c>
      <c r="V20" s="238">
        <f t="shared" si="17"/>
        <v>51.999999999999972</v>
      </c>
      <c r="W20" s="16"/>
      <c r="X20" s="16"/>
      <c r="Y20" s="19"/>
      <c r="Z20" s="19"/>
      <c r="AA20" s="232"/>
      <c r="AB20" s="233"/>
      <c r="AC20" s="136"/>
      <c r="AD20" s="18"/>
      <c r="AE20" s="14">
        <f t="shared" si="8"/>
        <v>-91.538461538460524</v>
      </c>
      <c r="AF20" s="228">
        <f t="shared" si="9"/>
        <v>0.95423076923076977</v>
      </c>
      <c r="AG20" s="616"/>
    </row>
    <row r="21" spans="1:33" ht="16.5" customHeight="1">
      <c r="A21" s="637" t="s">
        <v>1126</v>
      </c>
      <c r="B21" s="240" t="s">
        <v>5</v>
      </c>
      <c r="C21" s="106" t="s">
        <v>7</v>
      </c>
      <c r="D21" s="107"/>
      <c r="E21" s="27">
        <v>50.67</v>
      </c>
      <c r="F21" s="240">
        <v>1547</v>
      </c>
      <c r="G21" s="229">
        <f t="shared" si="15"/>
        <v>78386.490000000005</v>
      </c>
      <c r="H21" s="31" t="s">
        <v>40</v>
      </c>
      <c r="I21" s="237">
        <v>15</v>
      </c>
      <c r="J21" s="29">
        <v>2000</v>
      </c>
      <c r="K21" s="12">
        <f t="shared" si="1"/>
        <v>133.33333333333334</v>
      </c>
      <c r="L21" s="237">
        <v>15</v>
      </c>
      <c r="M21" s="13">
        <f t="shared" si="16"/>
        <v>1933.7500000000007</v>
      </c>
      <c r="N21" s="12">
        <f t="shared" si="3"/>
        <v>128.91666666666671</v>
      </c>
      <c r="O21" s="14">
        <f t="shared" si="4"/>
        <v>0</v>
      </c>
      <c r="P21" s="15">
        <f t="shared" si="5"/>
        <v>-4.4166666666666288</v>
      </c>
      <c r="Q21" s="228">
        <f t="shared" si="6"/>
        <v>0.96687500000000026</v>
      </c>
      <c r="R21" s="616"/>
      <c r="S21" s="32">
        <v>0.75</v>
      </c>
      <c r="T21" s="32">
        <v>0.78333333333333333</v>
      </c>
      <c r="U21" s="229">
        <f t="shared" si="18"/>
        <v>7.9999999999999716</v>
      </c>
      <c r="V21" s="238">
        <f t="shared" si="17"/>
        <v>47.999999999999986</v>
      </c>
      <c r="W21" s="16"/>
      <c r="X21" s="16"/>
      <c r="Y21" s="19"/>
      <c r="Z21" s="19"/>
      <c r="AA21" s="232"/>
      <c r="AB21" s="233"/>
      <c r="AC21" s="136"/>
      <c r="AD21" s="18"/>
      <c r="AE21" s="14">
        <f t="shared" si="8"/>
        <v>-66.249999999999318</v>
      </c>
      <c r="AF21" s="228">
        <f t="shared" si="9"/>
        <v>0.96687500000000037</v>
      </c>
      <c r="AG21" s="616"/>
    </row>
    <row r="22" spans="1:33" ht="16.5" customHeight="1">
      <c r="A22" s="637" t="s">
        <v>1126</v>
      </c>
      <c r="B22" s="240" t="s">
        <v>5</v>
      </c>
      <c r="C22" s="106" t="s">
        <v>615</v>
      </c>
      <c r="D22" s="107"/>
      <c r="E22" s="27">
        <v>54.5</v>
      </c>
      <c r="F22" s="240">
        <v>1856</v>
      </c>
      <c r="G22" s="229">
        <f t="shared" si="15"/>
        <v>101152</v>
      </c>
      <c r="H22" s="31" t="s">
        <v>40</v>
      </c>
      <c r="I22" s="237">
        <v>20</v>
      </c>
      <c r="J22" s="29">
        <v>1500</v>
      </c>
      <c r="K22" s="12">
        <f t="shared" si="1"/>
        <v>75</v>
      </c>
      <c r="L22" s="237">
        <v>20</v>
      </c>
      <c r="M22" s="13">
        <f t="shared" si="16"/>
        <v>1427.6923076923069</v>
      </c>
      <c r="N22" s="12">
        <f t="shared" si="3"/>
        <v>71.384615384615344</v>
      </c>
      <c r="O22" s="14">
        <f t="shared" si="4"/>
        <v>0</v>
      </c>
      <c r="P22" s="15">
        <f t="shared" si="5"/>
        <v>-3.6153846153846558</v>
      </c>
      <c r="Q22" s="228">
        <f t="shared" si="6"/>
        <v>0.95179487179487121</v>
      </c>
      <c r="R22" s="616"/>
      <c r="S22" s="32">
        <v>0.78819444444444442</v>
      </c>
      <c r="T22" s="32">
        <v>0.84236111111111112</v>
      </c>
      <c r="U22" s="229">
        <f t="shared" si="18"/>
        <v>6.9999999999999751</v>
      </c>
      <c r="V22" s="238">
        <f t="shared" si="17"/>
        <v>78.000000000000043</v>
      </c>
      <c r="W22" s="16"/>
      <c r="X22" s="16"/>
      <c r="Y22" s="19"/>
      <c r="Z22" s="19"/>
      <c r="AA22" s="232"/>
      <c r="AB22" s="233"/>
      <c r="AC22" s="136"/>
      <c r="AD22" s="18"/>
      <c r="AE22" s="14">
        <f t="shared" si="8"/>
        <v>-72.30769230769306</v>
      </c>
      <c r="AF22" s="228">
        <f t="shared" si="9"/>
        <v>0.95179487179487132</v>
      </c>
      <c r="AG22" s="616"/>
    </row>
    <row r="23" spans="1:33" ht="16.5" customHeight="1">
      <c r="A23" s="637" t="s">
        <v>1126</v>
      </c>
      <c r="B23" s="27" t="s">
        <v>1121</v>
      </c>
      <c r="C23" s="658"/>
      <c r="D23" s="658"/>
      <c r="E23" s="236"/>
      <c r="F23" s="28"/>
      <c r="G23" s="12"/>
      <c r="H23" s="240"/>
      <c r="I23" s="21">
        <v>17.777777777777779</v>
      </c>
      <c r="J23" s="29">
        <v>1722.2222222222222</v>
      </c>
      <c r="K23" s="12">
        <f t="shared" si="1"/>
        <v>96.874999999999986</v>
      </c>
      <c r="L23" s="21">
        <v>17.777777777777779</v>
      </c>
      <c r="M23" s="13">
        <f>AVERAGE(M14:M22)</f>
        <v>1649.8565433249082</v>
      </c>
      <c r="N23" s="12">
        <f t="shared" si="3"/>
        <v>92.804430562026084</v>
      </c>
      <c r="O23" s="14">
        <f t="shared" si="4"/>
        <v>0</v>
      </c>
      <c r="P23" s="15">
        <f t="shared" si="5"/>
        <v>-4.0705694379739015</v>
      </c>
      <c r="Q23" s="228">
        <f t="shared" si="6"/>
        <v>0.95798121870478548</v>
      </c>
      <c r="R23" s="616"/>
      <c r="S23" s="32"/>
      <c r="T23" s="32"/>
      <c r="U23" s="229"/>
      <c r="V23" s="238"/>
      <c r="W23" s="12"/>
      <c r="X23" s="12"/>
      <c r="Y23" s="22">
        <f>SUM(Y14:Y22)</f>
        <v>0</v>
      </c>
      <c r="Z23" s="22">
        <f>SUM(Z14:Z22)</f>
        <v>0</v>
      </c>
      <c r="AA23" s="611"/>
      <c r="AB23" s="611"/>
      <c r="AC23" s="22">
        <v>9</v>
      </c>
      <c r="AD23" s="22">
        <f>SUM(AD14:AD22)</f>
        <v>0</v>
      </c>
      <c r="AE23" s="14">
        <f t="shared" si="8"/>
        <v>-72.365678897313956</v>
      </c>
      <c r="AF23" s="228">
        <f t="shared" si="9"/>
        <v>0.95798121870478548</v>
      </c>
      <c r="AG23" s="616"/>
    </row>
    <row r="24" spans="1:33" ht="15.75" customHeight="1">
      <c r="A24" s="634" t="s">
        <v>372</v>
      </c>
      <c r="B24" s="27" t="s">
        <v>5</v>
      </c>
      <c r="C24" s="659" t="s">
        <v>16</v>
      </c>
      <c r="D24" s="659"/>
      <c r="E24" s="27">
        <v>50.67</v>
      </c>
      <c r="F24" s="240">
        <v>1579</v>
      </c>
      <c r="G24" s="229">
        <f t="shared" ref="G24:G28" si="19">E24*F24</f>
        <v>80007.930000000008</v>
      </c>
      <c r="H24" s="31" t="s">
        <v>40</v>
      </c>
      <c r="I24" s="237">
        <v>17</v>
      </c>
      <c r="J24" s="29">
        <v>2000</v>
      </c>
      <c r="K24" s="12">
        <f t="shared" si="1"/>
        <v>117.64705882352941</v>
      </c>
      <c r="L24" s="237">
        <v>17</v>
      </c>
      <c r="M24" s="13">
        <f t="shared" ref="M24:M28" si="20">F24/V24*60</f>
        <v>1933.4693877551024</v>
      </c>
      <c r="N24" s="12">
        <f t="shared" si="3"/>
        <v>113.73349339735897</v>
      </c>
      <c r="O24" s="14">
        <f t="shared" si="4"/>
        <v>0</v>
      </c>
      <c r="P24" s="15">
        <f t="shared" si="5"/>
        <v>-3.913565426170436</v>
      </c>
      <c r="Q24" s="228">
        <f t="shared" si="6"/>
        <v>0.96673469387755129</v>
      </c>
      <c r="R24" s="616">
        <f>Q29</f>
        <v>0.96116188581203077</v>
      </c>
      <c r="S24" s="32">
        <v>0.20833333333333334</v>
      </c>
      <c r="T24" s="32">
        <v>0.24236111111111111</v>
      </c>
      <c r="U24" s="229"/>
      <c r="V24" s="238">
        <f t="shared" ref="V24:V28" si="21">(T24-S24)*24*60</f>
        <v>48.999999999999986</v>
      </c>
      <c r="W24" s="16"/>
      <c r="X24" s="16"/>
      <c r="Y24" s="20"/>
      <c r="Z24" s="20"/>
      <c r="AA24" s="612"/>
      <c r="AB24" s="612"/>
      <c r="AC24" s="136">
        <v>5</v>
      </c>
      <c r="AD24" s="18"/>
      <c r="AE24" s="14">
        <f t="shared" si="8"/>
        <v>-66.530612244897611</v>
      </c>
      <c r="AF24" s="228">
        <f t="shared" si="9"/>
        <v>0.96673469387755118</v>
      </c>
      <c r="AG24" s="616">
        <f>AF29</f>
        <v>0.96116188581203077</v>
      </c>
    </row>
    <row r="25" spans="1:33" ht="15.75" customHeight="1">
      <c r="A25" s="635" t="s">
        <v>372</v>
      </c>
      <c r="B25" s="27" t="s">
        <v>5</v>
      </c>
      <c r="C25" s="659" t="s">
        <v>17</v>
      </c>
      <c r="D25" s="659"/>
      <c r="E25" s="27">
        <v>57.73</v>
      </c>
      <c r="F25" s="240">
        <v>2252</v>
      </c>
      <c r="G25" s="229">
        <f t="shared" si="19"/>
        <v>130007.95999999999</v>
      </c>
      <c r="H25" s="31" t="s">
        <v>40</v>
      </c>
      <c r="I25" s="237">
        <v>14</v>
      </c>
      <c r="J25" s="29">
        <v>2000</v>
      </c>
      <c r="K25" s="12">
        <f t="shared" si="1"/>
        <v>142.85714285714286</v>
      </c>
      <c r="L25" s="237">
        <v>14</v>
      </c>
      <c r="M25" s="13">
        <f t="shared" si="20"/>
        <v>1903.098591549295</v>
      </c>
      <c r="N25" s="12">
        <f t="shared" si="3"/>
        <v>135.93561368209251</v>
      </c>
      <c r="O25" s="14">
        <f t="shared" si="4"/>
        <v>0</v>
      </c>
      <c r="P25" s="15">
        <f t="shared" si="5"/>
        <v>-6.9215291750503525</v>
      </c>
      <c r="Q25" s="228">
        <f t="shared" si="6"/>
        <v>0.95154929577464753</v>
      </c>
      <c r="R25" s="616"/>
      <c r="S25" s="32">
        <v>0.24583333333333332</v>
      </c>
      <c r="T25" s="32">
        <v>0.2951388888888889</v>
      </c>
      <c r="U25" s="229">
        <f t="shared" ref="U25:U28" si="22">IF(S25=TIME(17,0,0),"",(S25-T24)*24*60)</f>
        <v>4.9999999999999822</v>
      </c>
      <c r="V25" s="238">
        <f t="shared" si="21"/>
        <v>71.000000000000028</v>
      </c>
      <c r="W25" s="16"/>
      <c r="X25" s="229"/>
      <c r="Y25" s="229"/>
      <c r="Z25" s="229"/>
      <c r="AA25" s="612"/>
      <c r="AB25" s="612"/>
      <c r="AC25" s="136"/>
      <c r="AD25" s="18"/>
      <c r="AE25" s="14">
        <f t="shared" si="8"/>
        <v>-96.901408450705048</v>
      </c>
      <c r="AF25" s="228">
        <f t="shared" si="9"/>
        <v>0.95154929577464753</v>
      </c>
      <c r="AG25" s="616"/>
    </row>
    <row r="26" spans="1:33" ht="15.75" customHeight="1">
      <c r="A26" s="635" t="s">
        <v>1127</v>
      </c>
      <c r="B26" s="27" t="s">
        <v>5</v>
      </c>
      <c r="C26" s="659" t="s">
        <v>60</v>
      </c>
      <c r="D26" s="659"/>
      <c r="E26" s="27">
        <v>53.27</v>
      </c>
      <c r="F26" s="240">
        <v>1481</v>
      </c>
      <c r="G26" s="229">
        <f t="shared" si="19"/>
        <v>78892.87000000001</v>
      </c>
      <c r="H26" s="31" t="s">
        <v>40</v>
      </c>
      <c r="I26" s="237">
        <v>16</v>
      </c>
      <c r="J26" s="29">
        <v>2000</v>
      </c>
      <c r="K26" s="12">
        <f t="shared" si="1"/>
        <v>125</v>
      </c>
      <c r="L26" s="237">
        <v>16</v>
      </c>
      <c r="M26" s="13">
        <f t="shared" si="20"/>
        <v>1931.7391304347827</v>
      </c>
      <c r="N26" s="12">
        <f t="shared" si="3"/>
        <v>120.73369565217392</v>
      </c>
      <c r="O26" s="14">
        <f t="shared" si="4"/>
        <v>0</v>
      </c>
      <c r="P26" s="15">
        <f t="shared" si="5"/>
        <v>-4.2663043478260789</v>
      </c>
      <c r="Q26" s="228">
        <f t="shared" si="6"/>
        <v>0.96586956521739142</v>
      </c>
      <c r="R26" s="616"/>
      <c r="S26" s="32">
        <v>0.29930555555555555</v>
      </c>
      <c r="T26" s="32">
        <v>0.33124999999999999</v>
      </c>
      <c r="U26" s="229">
        <f t="shared" si="22"/>
        <v>5.9999999999999787</v>
      </c>
      <c r="V26" s="238">
        <f t="shared" si="21"/>
        <v>46</v>
      </c>
      <c r="W26" s="16"/>
      <c r="X26" s="229"/>
      <c r="Y26" s="229"/>
      <c r="Z26" s="229"/>
      <c r="AA26" s="612"/>
      <c r="AB26" s="612"/>
      <c r="AC26" s="136"/>
      <c r="AD26" s="18"/>
      <c r="AE26" s="14">
        <f t="shared" si="8"/>
        <v>-68.260869565217263</v>
      </c>
      <c r="AF26" s="228">
        <f t="shared" si="9"/>
        <v>0.96586956521739142</v>
      </c>
      <c r="AG26" s="616"/>
    </row>
    <row r="27" spans="1:33" ht="15.75" customHeight="1">
      <c r="A27" s="635" t="s">
        <v>372</v>
      </c>
      <c r="B27" s="27" t="s">
        <v>5</v>
      </c>
      <c r="C27" s="659" t="s">
        <v>18</v>
      </c>
      <c r="D27" s="659"/>
      <c r="E27" s="27">
        <v>50.49</v>
      </c>
      <c r="F27" s="240">
        <v>2203</v>
      </c>
      <c r="G27" s="229">
        <f t="shared" si="19"/>
        <v>111229.47</v>
      </c>
      <c r="H27" s="31" t="s">
        <v>40</v>
      </c>
      <c r="I27" s="237">
        <v>15</v>
      </c>
      <c r="J27" s="29">
        <v>2000</v>
      </c>
      <c r="K27" s="12">
        <f t="shared" si="1"/>
        <v>133.33333333333334</v>
      </c>
      <c r="L27" s="237">
        <v>15</v>
      </c>
      <c r="M27" s="13">
        <f t="shared" si="20"/>
        <v>1915.6521739130417</v>
      </c>
      <c r="N27" s="12">
        <f t="shared" si="3"/>
        <v>127.71014492753611</v>
      </c>
      <c r="O27" s="14">
        <f t="shared" si="4"/>
        <v>0</v>
      </c>
      <c r="P27" s="15">
        <f t="shared" si="5"/>
        <v>-5.6231884057972366</v>
      </c>
      <c r="Q27" s="228">
        <f t="shared" si="6"/>
        <v>0.95782608695652072</v>
      </c>
      <c r="R27" s="616"/>
      <c r="S27" s="32">
        <v>0.70833333333333337</v>
      </c>
      <c r="T27" s="32">
        <v>0.75625000000000009</v>
      </c>
      <c r="U27" s="229" t="str">
        <f t="shared" si="22"/>
        <v/>
      </c>
      <c r="V27" s="238">
        <f t="shared" si="21"/>
        <v>69.000000000000071</v>
      </c>
      <c r="W27" s="16"/>
      <c r="X27" s="229"/>
      <c r="Y27" s="229"/>
      <c r="Z27" s="229"/>
      <c r="AA27" s="612"/>
      <c r="AB27" s="612"/>
      <c r="AC27" s="136"/>
      <c r="AD27" s="18"/>
      <c r="AE27" s="14">
        <f t="shared" si="8"/>
        <v>-84.347826086958321</v>
      </c>
      <c r="AF27" s="228">
        <f t="shared" si="9"/>
        <v>0.95782608695652083</v>
      </c>
      <c r="AG27" s="616"/>
    </row>
    <row r="28" spans="1:33" ht="15.75" customHeight="1">
      <c r="A28" s="635" t="s">
        <v>372</v>
      </c>
      <c r="B28" s="27" t="s">
        <v>5</v>
      </c>
      <c r="C28" s="659" t="s">
        <v>65</v>
      </c>
      <c r="D28" s="659"/>
      <c r="E28" s="27">
        <v>56.43</v>
      </c>
      <c r="F28" s="240">
        <v>1510</v>
      </c>
      <c r="G28" s="229">
        <f t="shared" si="19"/>
        <v>85209.3</v>
      </c>
      <c r="H28" s="31" t="s">
        <v>40</v>
      </c>
      <c r="I28" s="237">
        <v>13</v>
      </c>
      <c r="J28" s="29">
        <v>2000</v>
      </c>
      <c r="K28" s="12">
        <f t="shared" si="1"/>
        <v>153.84615384615384</v>
      </c>
      <c r="L28" s="237">
        <v>13</v>
      </c>
      <c r="M28" s="13">
        <f t="shared" si="20"/>
        <v>1927.6595744680853</v>
      </c>
      <c r="N28" s="12">
        <f t="shared" si="3"/>
        <v>148.28150572831424</v>
      </c>
      <c r="O28" s="14">
        <f t="shared" si="4"/>
        <v>0</v>
      </c>
      <c r="P28" s="15">
        <f t="shared" si="5"/>
        <v>-5.5646481178395959</v>
      </c>
      <c r="Q28" s="228">
        <f t="shared" si="6"/>
        <v>0.96382978723404267</v>
      </c>
      <c r="R28" s="616"/>
      <c r="S28" s="32">
        <v>0.76180555555555562</v>
      </c>
      <c r="T28" s="32">
        <v>0.79444444444444451</v>
      </c>
      <c r="U28" s="229">
        <f t="shared" si="22"/>
        <v>7.9999999999999716</v>
      </c>
      <c r="V28" s="238">
        <f t="shared" si="21"/>
        <v>46.999999999999993</v>
      </c>
      <c r="W28" s="16"/>
      <c r="X28" s="16"/>
      <c r="Y28" s="229"/>
      <c r="Z28" s="229"/>
      <c r="AA28" s="612"/>
      <c r="AB28" s="612"/>
      <c r="AC28" s="136"/>
      <c r="AD28" s="18"/>
      <c r="AE28" s="14">
        <f t="shared" si="8"/>
        <v>-72.340425531914661</v>
      </c>
      <c r="AF28" s="228">
        <f t="shared" si="9"/>
        <v>0.96382978723404267</v>
      </c>
      <c r="AG28" s="616"/>
    </row>
    <row r="29" spans="1:33" ht="15.75" customHeight="1">
      <c r="A29" s="635" t="s">
        <v>372</v>
      </c>
      <c r="B29" s="27" t="s">
        <v>1124</v>
      </c>
      <c r="C29" s="658"/>
      <c r="D29" s="658"/>
      <c r="E29" s="236"/>
      <c r="F29" s="240"/>
      <c r="G29" s="229"/>
      <c r="H29" s="240"/>
      <c r="I29" s="21">
        <v>15</v>
      </c>
      <c r="J29" s="29">
        <v>2000</v>
      </c>
      <c r="K29" s="12">
        <f t="shared" si="1"/>
        <v>133.33333333333334</v>
      </c>
      <c r="L29" s="21">
        <v>15</v>
      </c>
      <c r="M29" s="13">
        <f>AVERAGE(M24:M28)</f>
        <v>1922.3237716240615</v>
      </c>
      <c r="N29" s="12">
        <f t="shared" si="3"/>
        <v>128.15491810827078</v>
      </c>
      <c r="O29" s="14">
        <f t="shared" si="4"/>
        <v>0</v>
      </c>
      <c r="P29" s="15">
        <f t="shared" si="5"/>
        <v>-5.1784152250625652</v>
      </c>
      <c r="Q29" s="228">
        <f t="shared" si="6"/>
        <v>0.96116188581203077</v>
      </c>
      <c r="R29" s="616"/>
      <c r="S29" s="32"/>
      <c r="T29" s="32"/>
      <c r="U29" s="12"/>
      <c r="V29" s="238"/>
      <c r="W29" s="12"/>
      <c r="X29" s="12"/>
      <c r="Y29" s="22">
        <f>SUM(Y24:Y28)</f>
        <v>0</v>
      </c>
      <c r="Z29" s="22">
        <f>SUM(Z24:Z28)</f>
        <v>0</v>
      </c>
      <c r="AA29" s="611"/>
      <c r="AB29" s="611"/>
      <c r="AC29" s="22">
        <v>5</v>
      </c>
      <c r="AD29" s="22">
        <f>SUM(AD24:AD28)</f>
        <v>0</v>
      </c>
      <c r="AE29" s="14">
        <f t="shared" si="8"/>
        <v>-77.676228375938535</v>
      </c>
      <c r="AF29" s="228">
        <f t="shared" si="9"/>
        <v>0.96116188581203077</v>
      </c>
      <c r="AG29" s="616"/>
    </row>
    <row r="30" spans="1:33" ht="15.75" customHeight="1">
      <c r="A30" s="633" t="s">
        <v>1128</v>
      </c>
      <c r="B30" s="27" t="s">
        <v>20</v>
      </c>
      <c r="C30" s="659" t="s">
        <v>21</v>
      </c>
      <c r="D30" s="659"/>
      <c r="E30" s="27">
        <v>31.29</v>
      </c>
      <c r="F30" s="240">
        <v>4400</v>
      </c>
      <c r="G30" s="229">
        <f t="shared" ref="G30:G35" si="23">E30*F30</f>
        <v>137676</v>
      </c>
      <c r="H30" s="31">
        <v>2</v>
      </c>
      <c r="I30" s="237">
        <v>18</v>
      </c>
      <c r="J30" s="29">
        <v>2400</v>
      </c>
      <c r="K30" s="12">
        <f t="shared" si="1"/>
        <v>133.33333333333334</v>
      </c>
      <c r="L30" s="237">
        <v>18</v>
      </c>
      <c r="M30" s="13">
        <f t="shared" ref="M30:M35" si="24">F30/V30*60</f>
        <v>2295.652173913043</v>
      </c>
      <c r="N30" s="12">
        <f t="shared" si="3"/>
        <v>127.53623188405794</v>
      </c>
      <c r="O30" s="14">
        <f t="shared" si="4"/>
        <v>0</v>
      </c>
      <c r="P30" s="15">
        <f t="shared" si="5"/>
        <v>-5.7971014492754023</v>
      </c>
      <c r="Q30" s="228">
        <f t="shared" si="6"/>
        <v>0.95652173913043448</v>
      </c>
      <c r="R30" s="616">
        <f>Q36</f>
        <v>0.95448365887192965</v>
      </c>
      <c r="S30" s="32">
        <v>8.3333333333333329E-2</v>
      </c>
      <c r="T30" s="32">
        <v>0.16319444444444445</v>
      </c>
      <c r="U30" s="229"/>
      <c r="V30" s="238">
        <f t="shared" ref="V30:V35" si="25">(T30-S30)*24*60</f>
        <v>115.00000000000001</v>
      </c>
      <c r="W30" s="16">
        <f>T30</f>
        <v>0.16319444444444445</v>
      </c>
      <c r="X30" s="16">
        <f>S31</f>
        <v>0.18263888888888888</v>
      </c>
      <c r="Y30" s="16"/>
      <c r="Z30" s="16"/>
      <c r="AA30" s="612"/>
      <c r="AB30" s="612"/>
      <c r="AC30" s="136">
        <v>6</v>
      </c>
      <c r="AD30" s="18"/>
      <c r="AE30" s="14">
        <f t="shared" si="8"/>
        <v>-104.34782608695696</v>
      </c>
      <c r="AF30" s="228">
        <f t="shared" si="9"/>
        <v>0.95652173913043459</v>
      </c>
      <c r="AG30" s="616">
        <f>AF36</f>
        <v>0.95448365887192965</v>
      </c>
    </row>
    <row r="31" spans="1:33" ht="15.75" customHeight="1">
      <c r="A31" s="633" t="s">
        <v>1128</v>
      </c>
      <c r="B31" s="27" t="s">
        <v>20</v>
      </c>
      <c r="C31" s="659" t="s">
        <v>22</v>
      </c>
      <c r="D31" s="659"/>
      <c r="E31" s="27">
        <v>26.37</v>
      </c>
      <c r="F31" s="240">
        <v>5136</v>
      </c>
      <c r="G31" s="229">
        <f t="shared" si="23"/>
        <v>135436.32</v>
      </c>
      <c r="H31" s="31" t="s">
        <v>40</v>
      </c>
      <c r="I31" s="237">
        <v>18</v>
      </c>
      <c r="J31" s="29">
        <v>2400</v>
      </c>
      <c r="K31" s="12">
        <f t="shared" si="1"/>
        <v>133.33333333333334</v>
      </c>
      <c r="L31" s="237">
        <v>18</v>
      </c>
      <c r="M31" s="13">
        <f t="shared" si="24"/>
        <v>2282.6666666666656</v>
      </c>
      <c r="N31" s="12">
        <f t="shared" si="3"/>
        <v>126.81481481481475</v>
      </c>
      <c r="O31" s="14">
        <f t="shared" si="4"/>
        <v>0</v>
      </c>
      <c r="P31" s="15">
        <f t="shared" si="5"/>
        <v>-6.5185185185185901</v>
      </c>
      <c r="Q31" s="228">
        <f t="shared" si="6"/>
        <v>0.95111111111111057</v>
      </c>
      <c r="R31" s="616"/>
      <c r="S31" s="32">
        <v>0.18263888888888888</v>
      </c>
      <c r="T31" s="32">
        <v>0.27638888888888891</v>
      </c>
      <c r="U31" s="229">
        <f t="shared" ref="U31:U35" si="26">(S31-T30)*24*60</f>
        <v>27.999999999999979</v>
      </c>
      <c r="V31" s="238">
        <f t="shared" si="25"/>
        <v>135.00000000000006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-117.33333333333439</v>
      </c>
      <c r="AF31" s="228">
        <f t="shared" si="9"/>
        <v>0.95111111111111069</v>
      </c>
      <c r="AG31" s="616"/>
    </row>
    <row r="32" spans="1:33" ht="15.75" customHeight="1">
      <c r="A32" s="633" t="s">
        <v>1128</v>
      </c>
      <c r="B32" s="27" t="s">
        <v>20</v>
      </c>
      <c r="C32" s="659" t="s">
        <v>57</v>
      </c>
      <c r="D32" s="659"/>
      <c r="E32" s="27">
        <v>26.18</v>
      </c>
      <c r="F32" s="240">
        <v>6547</v>
      </c>
      <c r="G32" s="229">
        <f t="shared" si="23"/>
        <v>171400.46</v>
      </c>
      <c r="H32" s="31" t="s">
        <v>40</v>
      </c>
      <c r="I32" s="237">
        <v>18</v>
      </c>
      <c r="J32" s="29">
        <v>2400</v>
      </c>
      <c r="K32" s="12">
        <f t="shared" si="1"/>
        <v>133.33333333333334</v>
      </c>
      <c r="L32" s="237">
        <v>18</v>
      </c>
      <c r="M32" s="13">
        <f t="shared" si="24"/>
        <v>2283.8372093023249</v>
      </c>
      <c r="N32" s="12">
        <f t="shared" si="3"/>
        <v>126.87984496124028</v>
      </c>
      <c r="O32" s="14">
        <f t="shared" si="4"/>
        <v>0</v>
      </c>
      <c r="P32" s="15">
        <f t="shared" si="5"/>
        <v>-6.4534883720930623</v>
      </c>
      <c r="Q32" s="228">
        <f t="shared" si="6"/>
        <v>0.95159883720930205</v>
      </c>
      <c r="R32" s="616"/>
      <c r="S32" s="32">
        <v>0.28125</v>
      </c>
      <c r="T32" s="32">
        <v>0.40069444444444446</v>
      </c>
      <c r="U32" s="229">
        <f t="shared" si="26"/>
        <v>6.9999999999999751</v>
      </c>
      <c r="V32" s="238">
        <f t="shared" si="25"/>
        <v>172.00000000000003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-116.16279069767506</v>
      </c>
      <c r="AF32" s="228">
        <f t="shared" si="9"/>
        <v>0.95159883720930205</v>
      </c>
      <c r="AG32" s="616"/>
    </row>
    <row r="33" spans="1:33" ht="15.75" customHeight="1">
      <c r="A33" s="633" t="s">
        <v>1128</v>
      </c>
      <c r="B33" s="27" t="s">
        <v>20</v>
      </c>
      <c r="C33" s="659" t="s">
        <v>64</v>
      </c>
      <c r="D33" s="659"/>
      <c r="E33" s="27">
        <v>20.21</v>
      </c>
      <c r="F33" s="240">
        <v>2150</v>
      </c>
      <c r="G33" s="229">
        <f t="shared" si="23"/>
        <v>43451.5</v>
      </c>
      <c r="H33" s="31" t="s">
        <v>40</v>
      </c>
      <c r="I33" s="237">
        <v>18</v>
      </c>
      <c r="J33" s="29">
        <v>2400</v>
      </c>
      <c r="K33" s="12">
        <f t="shared" si="1"/>
        <v>133.33333333333334</v>
      </c>
      <c r="L33" s="237">
        <v>18</v>
      </c>
      <c r="M33" s="13">
        <f t="shared" si="24"/>
        <v>2303.5714285714303</v>
      </c>
      <c r="N33" s="12">
        <f t="shared" si="3"/>
        <v>127.97619047619057</v>
      </c>
      <c r="O33" s="14">
        <f t="shared" si="4"/>
        <v>0</v>
      </c>
      <c r="P33" s="15">
        <f t="shared" si="5"/>
        <v>-5.3571428571427759</v>
      </c>
      <c r="Q33" s="228">
        <f t="shared" si="6"/>
        <v>0.95982142857142916</v>
      </c>
      <c r="R33" s="616"/>
      <c r="S33" s="32">
        <v>0.40416666666666667</v>
      </c>
      <c r="T33" s="32">
        <v>0.44305555555555554</v>
      </c>
      <c r="U33" s="229">
        <f t="shared" si="26"/>
        <v>4.9999999999999822</v>
      </c>
      <c r="V33" s="238">
        <f t="shared" si="25"/>
        <v>55.999999999999957</v>
      </c>
      <c r="W33" s="16"/>
      <c r="X33" s="16"/>
      <c r="Y33" s="16"/>
      <c r="Z33" s="16"/>
      <c r="AA33" s="612"/>
      <c r="AB33" s="612"/>
      <c r="AC33" s="136"/>
      <c r="AD33" s="18"/>
      <c r="AE33" s="14">
        <f t="shared" si="8"/>
        <v>-96.42857142856974</v>
      </c>
      <c r="AF33" s="228">
        <f t="shared" si="9"/>
        <v>0.95982142857142927</v>
      </c>
      <c r="AG33" s="616"/>
    </row>
    <row r="34" spans="1:33" ht="15.75" customHeight="1">
      <c r="A34" s="633" t="s">
        <v>1128</v>
      </c>
      <c r="B34" s="27" t="s">
        <v>20</v>
      </c>
      <c r="C34" s="659" t="s">
        <v>23</v>
      </c>
      <c r="D34" s="659"/>
      <c r="E34" s="27">
        <v>25.99</v>
      </c>
      <c r="F34" s="240">
        <v>3270</v>
      </c>
      <c r="G34" s="229">
        <f t="shared" si="23"/>
        <v>84987.299999999988</v>
      </c>
      <c r="H34" s="31" t="s">
        <v>40</v>
      </c>
      <c r="I34" s="237">
        <v>14</v>
      </c>
      <c r="J34" s="29">
        <v>2400</v>
      </c>
      <c r="K34" s="12">
        <f t="shared" si="1"/>
        <v>171.42857142857142</v>
      </c>
      <c r="L34" s="237">
        <v>14</v>
      </c>
      <c r="M34" s="13">
        <f t="shared" si="24"/>
        <v>2281.395348837209</v>
      </c>
      <c r="N34" s="12">
        <f t="shared" si="3"/>
        <v>162.95681063122922</v>
      </c>
      <c r="O34" s="14">
        <f t="shared" si="4"/>
        <v>0</v>
      </c>
      <c r="P34" s="15">
        <f t="shared" si="5"/>
        <v>-8.4717607973421991</v>
      </c>
      <c r="Q34" s="228">
        <f t="shared" si="6"/>
        <v>0.95058139534883712</v>
      </c>
      <c r="R34" s="616"/>
      <c r="S34" s="32">
        <v>0.44652777777777775</v>
      </c>
      <c r="T34" s="32">
        <v>0.50624999999999998</v>
      </c>
      <c r="U34" s="229">
        <f t="shared" si="26"/>
        <v>4.9999999999999822</v>
      </c>
      <c r="V34" s="238">
        <f t="shared" si="25"/>
        <v>86.000000000000014</v>
      </c>
      <c r="W34" s="16">
        <f>T34</f>
        <v>0.50624999999999998</v>
      </c>
      <c r="X34" s="16">
        <f>S35</f>
        <v>0.54583333333333328</v>
      </c>
      <c r="Y34" s="16"/>
      <c r="Z34" s="16"/>
      <c r="AA34" s="612"/>
      <c r="AB34" s="612"/>
      <c r="AC34" s="136"/>
      <c r="AD34" s="18"/>
      <c r="AE34" s="14">
        <f t="shared" si="8"/>
        <v>-118.60465116279101</v>
      </c>
      <c r="AF34" s="228">
        <f t="shared" si="9"/>
        <v>0.95058139534883712</v>
      </c>
      <c r="AG34" s="616"/>
    </row>
    <row r="35" spans="1:33" ht="15.75" customHeight="1">
      <c r="A35" s="633" t="s">
        <v>1128</v>
      </c>
      <c r="B35" s="27" t="s">
        <v>20</v>
      </c>
      <c r="C35" s="659" t="s">
        <v>21</v>
      </c>
      <c r="D35" s="659"/>
      <c r="E35" s="27">
        <v>31.29</v>
      </c>
      <c r="F35" s="240">
        <v>3293</v>
      </c>
      <c r="G35" s="229">
        <f t="shared" si="23"/>
        <v>103037.97</v>
      </c>
      <c r="H35" s="31" t="s">
        <v>40</v>
      </c>
      <c r="I35" s="237">
        <v>18</v>
      </c>
      <c r="J35" s="29">
        <v>2400</v>
      </c>
      <c r="K35" s="12">
        <f t="shared" si="1"/>
        <v>133.33333333333334</v>
      </c>
      <c r="L35" s="237">
        <v>18</v>
      </c>
      <c r="M35" s="13">
        <f t="shared" si="24"/>
        <v>2297.4418604651155</v>
      </c>
      <c r="N35" s="12">
        <f t="shared" si="3"/>
        <v>127.63565891472864</v>
      </c>
      <c r="O35" s="14">
        <f t="shared" si="4"/>
        <v>0</v>
      </c>
      <c r="P35" s="15">
        <f t="shared" si="5"/>
        <v>-5.6976744186047057</v>
      </c>
      <c r="Q35" s="228">
        <f t="shared" si="6"/>
        <v>0.95726744186046475</v>
      </c>
      <c r="R35" s="616"/>
      <c r="S35" s="32">
        <v>0.54583333333333328</v>
      </c>
      <c r="T35" s="32">
        <v>0.60555555555555551</v>
      </c>
      <c r="U35" s="229">
        <f t="shared" si="26"/>
        <v>56.999999999999957</v>
      </c>
      <c r="V35" s="238">
        <f t="shared" si="25"/>
        <v>86.000000000000014</v>
      </c>
      <c r="W35" s="16"/>
      <c r="X35" s="16"/>
      <c r="Y35" s="16"/>
      <c r="Z35" s="16"/>
      <c r="AA35" s="612"/>
      <c r="AB35" s="612"/>
      <c r="AC35" s="136"/>
      <c r="AD35" s="18"/>
      <c r="AE35" s="14">
        <f t="shared" si="8"/>
        <v>-102.5581395348845</v>
      </c>
      <c r="AF35" s="228">
        <f t="shared" si="9"/>
        <v>0.95726744186046475</v>
      </c>
      <c r="AG35" s="616"/>
    </row>
    <row r="36" spans="1:33" ht="15.75" customHeight="1">
      <c r="A36" s="633" t="s">
        <v>1128</v>
      </c>
      <c r="B36" s="27" t="s">
        <v>1124</v>
      </c>
      <c r="C36" s="658"/>
      <c r="D36" s="658"/>
      <c r="E36" s="236"/>
      <c r="F36" s="240"/>
      <c r="G36" s="229"/>
      <c r="H36" s="240"/>
      <c r="I36" s="21">
        <v>17.333333333333332</v>
      </c>
      <c r="J36" s="29">
        <v>2400</v>
      </c>
      <c r="K36" s="12">
        <f t="shared" si="1"/>
        <v>138.46153846153848</v>
      </c>
      <c r="L36" s="21">
        <v>17.333333333333332</v>
      </c>
      <c r="M36" s="13">
        <f>AVERAGE(M30:M35)</f>
        <v>2290.7607812926312</v>
      </c>
      <c r="N36" s="12">
        <f t="shared" si="3"/>
        <v>132.15927584380566</v>
      </c>
      <c r="O36" s="14">
        <f t="shared" si="4"/>
        <v>0</v>
      </c>
      <c r="P36" s="15">
        <f t="shared" si="5"/>
        <v>-6.302262617732822</v>
      </c>
      <c r="Q36" s="228">
        <f t="shared" si="6"/>
        <v>0.95448365887192965</v>
      </c>
      <c r="R36" s="616"/>
      <c r="S36" s="32"/>
      <c r="T36" s="32"/>
      <c r="U36" s="229"/>
      <c r="V36" s="238"/>
      <c r="W36" s="229"/>
      <c r="X36" s="229"/>
      <c r="Y36" s="22">
        <f>SUM(Y30:Y35)</f>
        <v>0</v>
      </c>
      <c r="Z36" s="22">
        <f>SUM(Z30:Z35)</f>
        <v>0</v>
      </c>
      <c r="AA36" s="611"/>
      <c r="AB36" s="611"/>
      <c r="AC36" s="22">
        <v>6</v>
      </c>
      <c r="AD36" s="22">
        <f>SUM(AD30:AD35)</f>
        <v>0</v>
      </c>
      <c r="AE36" s="14">
        <f t="shared" si="8"/>
        <v>-109.23921870736876</v>
      </c>
      <c r="AF36" s="228">
        <f t="shared" si="9"/>
        <v>0.95448365887192965</v>
      </c>
      <c r="AG36" s="616"/>
    </row>
    <row r="37" spans="1:33" ht="15.75" customHeight="1">
      <c r="A37" s="629" t="s">
        <v>1129</v>
      </c>
      <c r="B37" s="27" t="s">
        <v>20</v>
      </c>
      <c r="C37" s="660" t="s">
        <v>58</v>
      </c>
      <c r="D37" s="660"/>
      <c r="E37" s="27">
        <v>26.18</v>
      </c>
      <c r="F37" s="240">
        <v>4841</v>
      </c>
      <c r="G37" s="229">
        <f t="shared" ref="G37:G42" si="27">E37*F37</f>
        <v>126737.38</v>
      </c>
      <c r="H37" s="31" t="s">
        <v>40</v>
      </c>
      <c r="I37" s="237">
        <v>20</v>
      </c>
      <c r="J37" s="29">
        <v>2400</v>
      </c>
      <c r="K37" s="12">
        <f t="shared" si="1"/>
        <v>120</v>
      </c>
      <c r="L37" s="237">
        <v>20</v>
      </c>
      <c r="M37" s="13">
        <f t="shared" ref="M37:M42" si="28">F37/V37*60</f>
        <v>2287.0866141732286</v>
      </c>
      <c r="N37" s="12">
        <f t="shared" si="3"/>
        <v>114.35433070866142</v>
      </c>
      <c r="O37" s="14">
        <f t="shared" si="4"/>
        <v>0</v>
      </c>
      <c r="P37" s="15">
        <f t="shared" si="5"/>
        <v>-5.645669291338578</v>
      </c>
      <c r="Q37" s="228">
        <f t="shared" si="6"/>
        <v>0.95295275590551187</v>
      </c>
      <c r="R37" s="616">
        <f>Q43</f>
        <v>0.95815619333096802</v>
      </c>
      <c r="S37" s="32">
        <v>8.3333333333333329E-2</v>
      </c>
      <c r="T37" s="32">
        <v>0.17152777777777778</v>
      </c>
      <c r="U37" s="229"/>
      <c r="V37" s="238">
        <f t="shared" ref="V37:V42" si="29">(T37-S37)*24*60</f>
        <v>127</v>
      </c>
      <c r="W37" s="20">
        <f>T37</f>
        <v>0.17152777777777778</v>
      </c>
      <c r="X37" s="20">
        <f>S38</f>
        <v>0.19097222222222221</v>
      </c>
      <c r="Y37" s="20"/>
      <c r="Z37" s="20"/>
      <c r="AA37" s="612"/>
      <c r="AB37" s="612"/>
      <c r="AC37" s="136">
        <v>6</v>
      </c>
      <c r="AD37" s="18"/>
      <c r="AE37" s="14">
        <f t="shared" si="8"/>
        <v>-112.91338582677145</v>
      </c>
      <c r="AF37" s="228">
        <f t="shared" si="9"/>
        <v>0.95295275590551187</v>
      </c>
      <c r="AG37" s="616">
        <f>AF43</f>
        <v>0.95815619333096802</v>
      </c>
    </row>
    <row r="38" spans="1:33" ht="15.75" customHeight="1">
      <c r="A38" s="629" t="s">
        <v>1129</v>
      </c>
      <c r="B38" s="27" t="s">
        <v>20</v>
      </c>
      <c r="C38" s="660" t="s">
        <v>25</v>
      </c>
      <c r="D38" s="660"/>
      <c r="E38" s="27">
        <v>24.43</v>
      </c>
      <c r="F38" s="240">
        <v>3300</v>
      </c>
      <c r="G38" s="229">
        <f t="shared" si="27"/>
        <v>80619</v>
      </c>
      <c r="H38" s="31">
        <v>2</v>
      </c>
      <c r="I38" s="237">
        <v>14</v>
      </c>
      <c r="J38" s="29">
        <v>2400</v>
      </c>
      <c r="K38" s="12">
        <f t="shared" si="1"/>
        <v>171.42857142857142</v>
      </c>
      <c r="L38" s="237">
        <v>14</v>
      </c>
      <c r="M38" s="13">
        <f t="shared" si="28"/>
        <v>2302.3255813953483</v>
      </c>
      <c r="N38" s="12">
        <f t="shared" si="3"/>
        <v>164.45182724252487</v>
      </c>
      <c r="O38" s="14">
        <f t="shared" si="4"/>
        <v>0</v>
      </c>
      <c r="P38" s="15">
        <f t="shared" si="5"/>
        <v>-6.9767441860465453</v>
      </c>
      <c r="Q38" s="228">
        <f t="shared" si="6"/>
        <v>0.95930232558139517</v>
      </c>
      <c r="R38" s="616"/>
      <c r="S38" s="32">
        <v>0.19097222222222221</v>
      </c>
      <c r="T38" s="32">
        <v>0.25069444444444444</v>
      </c>
      <c r="U38" s="229">
        <f t="shared" ref="U38:U42" si="30">(S38-T37)*24*60</f>
        <v>27.999999999999979</v>
      </c>
      <c r="V38" s="238">
        <f t="shared" si="29"/>
        <v>86.000000000000014</v>
      </c>
      <c r="W38" s="229"/>
      <c r="X38" s="229"/>
      <c r="Y38" s="229"/>
      <c r="Z38" s="229"/>
      <c r="AA38" s="612"/>
      <c r="AB38" s="612"/>
      <c r="AC38" s="136"/>
      <c r="AD38" s="18"/>
      <c r="AE38" s="14">
        <f t="shared" si="8"/>
        <v>-97.674418604651692</v>
      </c>
      <c r="AF38" s="228">
        <f t="shared" si="9"/>
        <v>0.95930232558139517</v>
      </c>
      <c r="AG38" s="616"/>
    </row>
    <row r="39" spans="1:33">
      <c r="A39" s="630" t="s">
        <v>1129</v>
      </c>
      <c r="B39" s="27" t="s">
        <v>20</v>
      </c>
      <c r="C39" s="660" t="s">
        <v>83</v>
      </c>
      <c r="D39" s="660"/>
      <c r="E39" s="27">
        <v>25.98</v>
      </c>
      <c r="F39" s="240">
        <v>3599</v>
      </c>
      <c r="G39" s="229">
        <f t="shared" si="27"/>
        <v>93502.02</v>
      </c>
      <c r="H39" s="31" t="s">
        <v>40</v>
      </c>
      <c r="I39" s="237">
        <v>20</v>
      </c>
      <c r="J39" s="29">
        <v>2400</v>
      </c>
      <c r="K39" s="12">
        <f t="shared" si="1"/>
        <v>120</v>
      </c>
      <c r="L39" s="237">
        <v>20</v>
      </c>
      <c r="M39" s="13">
        <f t="shared" si="28"/>
        <v>2297.2340425531916</v>
      </c>
      <c r="N39" s="12">
        <f t="shared" si="3"/>
        <v>114.86170212765958</v>
      </c>
      <c r="O39" s="14">
        <f t="shared" si="4"/>
        <v>0</v>
      </c>
      <c r="P39" s="15">
        <f t="shared" si="5"/>
        <v>-5.1382978723404165</v>
      </c>
      <c r="Q39" s="228">
        <f t="shared" si="6"/>
        <v>0.95718085106382989</v>
      </c>
      <c r="R39" s="616"/>
      <c r="S39" s="32">
        <v>0.25624999999999998</v>
      </c>
      <c r="T39" s="32">
        <v>0.32152777777777775</v>
      </c>
      <c r="U39" s="229">
        <f t="shared" si="30"/>
        <v>7.9999999999999716</v>
      </c>
      <c r="V39" s="238">
        <f t="shared" si="29"/>
        <v>93.999999999999986</v>
      </c>
      <c r="W39" s="229"/>
      <c r="X39" s="229"/>
      <c r="Y39" s="229"/>
      <c r="Z39" s="229"/>
      <c r="AA39" s="612"/>
      <c r="AB39" s="612"/>
      <c r="AC39" s="136"/>
      <c r="AD39" s="18"/>
      <c r="AE39" s="14">
        <f t="shared" si="8"/>
        <v>-102.76595744680844</v>
      </c>
      <c r="AF39" s="228">
        <f t="shared" si="9"/>
        <v>0.95718085106382977</v>
      </c>
      <c r="AG39" s="616"/>
    </row>
    <row r="40" spans="1:33">
      <c r="A40" s="630" t="s">
        <v>1129</v>
      </c>
      <c r="B40" s="27" t="s">
        <v>20</v>
      </c>
      <c r="C40" s="660" t="s">
        <v>26</v>
      </c>
      <c r="D40" s="660"/>
      <c r="E40" s="27">
        <v>34.1</v>
      </c>
      <c r="F40" s="240">
        <v>5418</v>
      </c>
      <c r="G40" s="229">
        <f t="shared" si="27"/>
        <v>184753.80000000002</v>
      </c>
      <c r="H40" s="31" t="s">
        <v>40</v>
      </c>
      <c r="I40" s="237">
        <v>17</v>
      </c>
      <c r="J40" s="29">
        <v>1600</v>
      </c>
      <c r="K40" s="12">
        <f t="shared" si="1"/>
        <v>94.117647058823536</v>
      </c>
      <c r="L40" s="237">
        <v>17</v>
      </c>
      <c r="M40" s="13">
        <f t="shared" si="28"/>
        <v>1526.1971830985913</v>
      </c>
      <c r="N40" s="12">
        <f t="shared" si="3"/>
        <v>89.776304888152424</v>
      </c>
      <c r="O40" s="14">
        <f t="shared" si="4"/>
        <v>0</v>
      </c>
      <c r="P40" s="15">
        <f t="shared" si="5"/>
        <v>-4.3413421706711119</v>
      </c>
      <c r="Q40" s="228">
        <f t="shared" si="6"/>
        <v>0.95387323943661939</v>
      </c>
      <c r="R40" s="616"/>
      <c r="S40" s="32">
        <v>0.3256944444444444</v>
      </c>
      <c r="T40" s="32">
        <v>0.47361111111111109</v>
      </c>
      <c r="U40" s="229">
        <f t="shared" si="30"/>
        <v>5.9999999999999787</v>
      </c>
      <c r="V40" s="238">
        <f t="shared" si="29"/>
        <v>213.00000000000006</v>
      </c>
      <c r="W40" s="16"/>
      <c r="X40" s="16"/>
      <c r="Y40" s="16"/>
      <c r="Z40" s="16"/>
      <c r="AA40" s="612"/>
      <c r="AB40" s="612"/>
      <c r="AC40" s="136"/>
      <c r="AD40" s="18"/>
      <c r="AE40" s="14">
        <f t="shared" si="8"/>
        <v>-73.802816901408733</v>
      </c>
      <c r="AF40" s="228">
        <f t="shared" si="9"/>
        <v>0.9538732394366195</v>
      </c>
      <c r="AG40" s="616"/>
    </row>
    <row r="41" spans="1:33">
      <c r="A41" s="630" t="s">
        <v>1129</v>
      </c>
      <c r="B41" s="27" t="s">
        <v>20</v>
      </c>
      <c r="C41" s="660" t="s">
        <v>59</v>
      </c>
      <c r="D41" s="660"/>
      <c r="E41" s="27">
        <v>25.99</v>
      </c>
      <c r="F41" s="240">
        <v>1037</v>
      </c>
      <c r="G41" s="229">
        <f t="shared" si="27"/>
        <v>26951.629999999997</v>
      </c>
      <c r="H41" s="31" t="s">
        <v>40</v>
      </c>
      <c r="I41" s="237">
        <v>18</v>
      </c>
      <c r="J41" s="29">
        <v>2400</v>
      </c>
      <c r="K41" s="12">
        <f t="shared" si="1"/>
        <v>133.33333333333334</v>
      </c>
      <c r="L41" s="237">
        <v>18</v>
      </c>
      <c r="M41" s="13">
        <f t="shared" si="28"/>
        <v>2304.4444444444457</v>
      </c>
      <c r="N41" s="12">
        <f t="shared" si="3"/>
        <v>128.02469135802477</v>
      </c>
      <c r="O41" s="14">
        <f t="shared" si="4"/>
        <v>0</v>
      </c>
      <c r="P41" s="15">
        <f t="shared" si="5"/>
        <v>-5.308641975308575</v>
      </c>
      <c r="Q41" s="228">
        <f t="shared" si="6"/>
        <v>0.9601851851851857</v>
      </c>
      <c r="R41" s="616"/>
      <c r="S41" s="32">
        <v>0.47777777777777775</v>
      </c>
      <c r="T41" s="32">
        <v>0.49652777777777773</v>
      </c>
      <c r="U41" s="229">
        <f t="shared" si="30"/>
        <v>5.9999999999999787</v>
      </c>
      <c r="V41" s="238">
        <f t="shared" si="29"/>
        <v>26.999999999999986</v>
      </c>
      <c r="W41" s="16">
        <f>T41</f>
        <v>0.49652777777777773</v>
      </c>
      <c r="X41" s="16">
        <f>S42</f>
        <v>0.53541666666666665</v>
      </c>
      <c r="Y41" s="16"/>
      <c r="Z41" s="16"/>
      <c r="AA41" s="612"/>
      <c r="AB41" s="612"/>
      <c r="AC41" s="136"/>
      <c r="AD41" s="18"/>
      <c r="AE41" s="14">
        <f t="shared" si="8"/>
        <v>-95.555555555554292</v>
      </c>
      <c r="AF41" s="228">
        <f t="shared" si="9"/>
        <v>0.9601851851851857</v>
      </c>
      <c r="AG41" s="616"/>
    </row>
    <row r="42" spans="1:33">
      <c r="A42" s="630" t="s">
        <v>1129</v>
      </c>
      <c r="B42" s="27" t="s">
        <v>20</v>
      </c>
      <c r="C42" s="660" t="s">
        <v>25</v>
      </c>
      <c r="D42" s="660"/>
      <c r="E42" s="27">
        <v>24.43</v>
      </c>
      <c r="F42" s="240">
        <v>2545</v>
      </c>
      <c r="G42" s="229">
        <f t="shared" si="27"/>
        <v>62174.35</v>
      </c>
      <c r="H42" s="31" t="s">
        <v>40</v>
      </c>
      <c r="I42" s="237">
        <v>14</v>
      </c>
      <c r="J42" s="29">
        <v>2400</v>
      </c>
      <c r="K42" s="12">
        <f t="shared" si="1"/>
        <v>171.42857142857142</v>
      </c>
      <c r="L42" s="237">
        <v>14</v>
      </c>
      <c r="M42" s="13">
        <f t="shared" si="28"/>
        <v>2313.6363636363608</v>
      </c>
      <c r="N42" s="12">
        <f t="shared" si="3"/>
        <v>165.25974025974006</v>
      </c>
      <c r="O42" s="14">
        <f t="shared" si="4"/>
        <v>0</v>
      </c>
      <c r="P42" s="15">
        <f t="shared" si="5"/>
        <v>-6.1688311688313604</v>
      </c>
      <c r="Q42" s="228">
        <f t="shared" si="6"/>
        <v>0.96401515151515038</v>
      </c>
      <c r="R42" s="616"/>
      <c r="S42" s="32">
        <v>0.53541666666666665</v>
      </c>
      <c r="T42" s="32">
        <v>0.58125000000000004</v>
      </c>
      <c r="U42" s="229">
        <f t="shared" si="30"/>
        <v>56.000000000000043</v>
      </c>
      <c r="V42" s="238">
        <f t="shared" si="29"/>
        <v>66.000000000000085</v>
      </c>
      <c r="W42" s="16"/>
      <c r="X42" s="16"/>
      <c r="Y42" s="16"/>
      <c r="Z42" s="16"/>
      <c r="AA42" s="612"/>
      <c r="AB42" s="612"/>
      <c r="AC42" s="136"/>
      <c r="AD42" s="18"/>
      <c r="AE42" s="14">
        <f t="shared" si="8"/>
        <v>-86.363636363639216</v>
      </c>
      <c r="AF42" s="228">
        <f t="shared" si="9"/>
        <v>0.96401515151515038</v>
      </c>
      <c r="AG42" s="616"/>
    </row>
    <row r="43" spans="1:33">
      <c r="A43" s="630" t="s">
        <v>1129</v>
      </c>
      <c r="B43" s="28" t="s">
        <v>1124</v>
      </c>
      <c r="C43" s="658"/>
      <c r="D43" s="658"/>
      <c r="E43" s="236"/>
      <c r="F43" s="28"/>
      <c r="G43" s="12"/>
      <c r="H43" s="240"/>
      <c r="I43" s="21">
        <v>17.166666666666668</v>
      </c>
      <c r="J43" s="29">
        <v>2266.6666666666665</v>
      </c>
      <c r="K43" s="12">
        <f t="shared" si="1"/>
        <v>132.03883495145629</v>
      </c>
      <c r="L43" s="21">
        <v>17.166666666666668</v>
      </c>
      <c r="M43" s="13">
        <f>AVERAGE(M37:M42)</f>
        <v>2171.8207048835275</v>
      </c>
      <c r="N43" s="12">
        <f t="shared" si="3"/>
        <v>126.51382746894333</v>
      </c>
      <c r="O43" s="14">
        <f t="shared" si="4"/>
        <v>0</v>
      </c>
      <c r="P43" s="15">
        <f t="shared" si="5"/>
        <v>-5.5250074825129616</v>
      </c>
      <c r="Q43" s="228">
        <f t="shared" si="6"/>
        <v>0.95815619333096802</v>
      </c>
      <c r="R43" s="616"/>
      <c r="S43" s="32"/>
      <c r="T43" s="32"/>
      <c r="U43" s="12"/>
      <c r="V43" s="238"/>
      <c r="W43" s="12"/>
      <c r="X43" s="12"/>
      <c r="Y43" s="22">
        <f>SUM(Y37:Y42)</f>
        <v>0</v>
      </c>
      <c r="Z43" s="22">
        <f>SUM(Z37:Z42)</f>
        <v>0</v>
      </c>
      <c r="AA43" s="611"/>
      <c r="AB43" s="611"/>
      <c r="AC43" s="22">
        <v>6</v>
      </c>
      <c r="AD43" s="22">
        <f>SUM(AD37:AD42)</f>
        <v>0</v>
      </c>
      <c r="AE43" s="14">
        <f t="shared" si="8"/>
        <v>-94.845961783139046</v>
      </c>
      <c r="AF43" s="228">
        <f t="shared" si="9"/>
        <v>0.95815619333096802</v>
      </c>
      <c r="AG43" s="616"/>
    </row>
    <row r="44" spans="1:33" ht="15.75" customHeight="1">
      <c r="A44" s="623" t="s">
        <v>1130</v>
      </c>
      <c r="B44" s="27" t="s">
        <v>27</v>
      </c>
      <c r="C44" s="605" t="s">
        <v>33</v>
      </c>
      <c r="D44" s="606"/>
      <c r="E44" s="27">
        <v>34.36</v>
      </c>
      <c r="F44" s="240">
        <v>1919</v>
      </c>
      <c r="G44" s="229">
        <f t="shared" ref="G44:G47" si="31">E44*F44</f>
        <v>65936.84</v>
      </c>
      <c r="H44" s="31" t="s">
        <v>40</v>
      </c>
      <c r="I44" s="237">
        <v>10</v>
      </c>
      <c r="J44" s="29">
        <v>3000</v>
      </c>
      <c r="K44" s="12">
        <f t="shared" si="1"/>
        <v>300</v>
      </c>
      <c r="L44" s="237">
        <v>10</v>
      </c>
      <c r="M44" s="13">
        <f t="shared" ref="M44:M47" si="32">F44/V44*60</f>
        <v>2878.5000000000014</v>
      </c>
      <c r="N44" s="13">
        <f t="shared" si="3"/>
        <v>287.85000000000014</v>
      </c>
      <c r="O44" s="14">
        <f t="shared" si="4"/>
        <v>0</v>
      </c>
      <c r="P44" s="15">
        <f t="shared" si="5"/>
        <v>-12.149999999999864</v>
      </c>
      <c r="Q44" s="228">
        <f t="shared" si="6"/>
        <v>0.95950000000000046</v>
      </c>
      <c r="R44" s="626">
        <f>Q48</f>
        <v>0.95597715053763443</v>
      </c>
      <c r="S44" s="32">
        <v>0.20833333333333334</v>
      </c>
      <c r="T44" s="32">
        <v>0.2361111111111111</v>
      </c>
      <c r="U44" s="20"/>
      <c r="V44" s="238">
        <f t="shared" ref="V44:V47" si="33">(T44-S44)*24*60</f>
        <v>39.999999999999979</v>
      </c>
      <c r="W44" s="16"/>
      <c r="X44" s="16"/>
      <c r="Y44" s="19"/>
      <c r="Z44" s="19"/>
      <c r="AA44" s="607"/>
      <c r="AB44" s="608"/>
      <c r="AC44" s="136">
        <v>4</v>
      </c>
      <c r="AD44" s="18"/>
      <c r="AE44" s="14">
        <f t="shared" si="8"/>
        <v>-121.49999999999864</v>
      </c>
      <c r="AF44" s="228">
        <f t="shared" si="9"/>
        <v>0.95950000000000046</v>
      </c>
      <c r="AG44" s="626">
        <f>AF48</f>
        <v>0.95597715053763443</v>
      </c>
    </row>
    <row r="45" spans="1:33" ht="15.75" customHeight="1">
      <c r="A45" s="624" t="s">
        <v>1130</v>
      </c>
      <c r="B45" s="27" t="s">
        <v>27</v>
      </c>
      <c r="C45" s="605" t="s">
        <v>29</v>
      </c>
      <c r="D45" s="606"/>
      <c r="E45" s="27">
        <v>21.13</v>
      </c>
      <c r="F45" s="240">
        <v>4441</v>
      </c>
      <c r="G45" s="229">
        <f t="shared" si="31"/>
        <v>93838.33</v>
      </c>
      <c r="H45" s="31" t="s">
        <v>40</v>
      </c>
      <c r="I45" s="237">
        <v>10</v>
      </c>
      <c r="J45" s="29">
        <v>3000</v>
      </c>
      <c r="K45" s="12">
        <f t="shared" si="1"/>
        <v>300</v>
      </c>
      <c r="L45" s="237">
        <v>10</v>
      </c>
      <c r="M45" s="13">
        <f t="shared" si="32"/>
        <v>2865.1612903225796</v>
      </c>
      <c r="N45" s="13">
        <f t="shared" si="3"/>
        <v>286.51612903225794</v>
      </c>
      <c r="O45" s="14">
        <f t="shared" si="4"/>
        <v>0</v>
      </c>
      <c r="P45" s="15">
        <f t="shared" si="5"/>
        <v>-13.483870967742064</v>
      </c>
      <c r="Q45" s="228">
        <f t="shared" si="6"/>
        <v>0.95505376344085979</v>
      </c>
      <c r="R45" s="627"/>
      <c r="S45" s="32">
        <v>0.24097222222222223</v>
      </c>
      <c r="T45" s="32">
        <v>0.30555555555555558</v>
      </c>
      <c r="U45" s="229">
        <f t="shared" ref="U45:U47" si="34">(S45-T44)*24*60</f>
        <v>7.0000000000000151</v>
      </c>
      <c r="V45" s="238">
        <f t="shared" si="33"/>
        <v>93.000000000000028</v>
      </c>
      <c r="W45" s="16"/>
      <c r="X45" s="16"/>
      <c r="Y45" s="19"/>
      <c r="Z45" s="19"/>
      <c r="AA45" s="607"/>
      <c r="AB45" s="608"/>
      <c r="AC45" s="136"/>
      <c r="AD45" s="18"/>
      <c r="AE45" s="14">
        <f t="shared" si="8"/>
        <v>-134.83870967742041</v>
      </c>
      <c r="AF45" s="228">
        <f t="shared" si="9"/>
        <v>0.9550537634408599</v>
      </c>
      <c r="AG45" s="627"/>
    </row>
    <row r="46" spans="1:33" ht="15.75" customHeight="1">
      <c r="A46" s="624" t="s">
        <v>1130</v>
      </c>
      <c r="B46" s="27" t="s">
        <v>27</v>
      </c>
      <c r="C46" s="605" t="s">
        <v>30</v>
      </c>
      <c r="D46" s="606"/>
      <c r="E46" s="27">
        <v>27.17</v>
      </c>
      <c r="F46" s="240">
        <v>4430</v>
      </c>
      <c r="G46" s="229">
        <f t="shared" si="31"/>
        <v>120363.1</v>
      </c>
      <c r="H46" s="31" t="s">
        <v>40</v>
      </c>
      <c r="I46" s="237">
        <v>10</v>
      </c>
      <c r="J46" s="29">
        <v>3000</v>
      </c>
      <c r="K46" s="12">
        <f t="shared" si="1"/>
        <v>300</v>
      </c>
      <c r="L46" s="237">
        <v>10</v>
      </c>
      <c r="M46" s="13">
        <f t="shared" si="32"/>
        <v>2858.0645161290327</v>
      </c>
      <c r="N46" s="13">
        <f t="shared" si="3"/>
        <v>285.80645161290329</v>
      </c>
      <c r="O46" s="14">
        <f t="shared" si="4"/>
        <v>0</v>
      </c>
      <c r="P46" s="15">
        <f t="shared" si="5"/>
        <v>-14.193548387096712</v>
      </c>
      <c r="Q46" s="228">
        <f t="shared" si="6"/>
        <v>0.95268817204301093</v>
      </c>
      <c r="R46" s="627"/>
      <c r="S46" s="32">
        <v>0.30902777777777779</v>
      </c>
      <c r="T46" s="32">
        <v>0.37361111111111112</v>
      </c>
      <c r="U46" s="229">
        <f t="shared" si="34"/>
        <v>4.9999999999999822</v>
      </c>
      <c r="V46" s="238">
        <f t="shared" si="33"/>
        <v>92.999999999999986</v>
      </c>
      <c r="W46" s="16"/>
      <c r="X46" s="16"/>
      <c r="Y46" s="19"/>
      <c r="Z46" s="19"/>
      <c r="AA46" s="607"/>
      <c r="AB46" s="608"/>
      <c r="AC46" s="136"/>
      <c r="AD46" s="18"/>
      <c r="AE46" s="14">
        <f t="shared" si="8"/>
        <v>-141.93548387096735</v>
      </c>
      <c r="AF46" s="228">
        <f t="shared" si="9"/>
        <v>0.95268817204301093</v>
      </c>
      <c r="AG46" s="627"/>
    </row>
    <row r="47" spans="1:33" ht="15.75" customHeight="1">
      <c r="A47" s="624" t="s">
        <v>1130</v>
      </c>
      <c r="B47" s="27" t="s">
        <v>27</v>
      </c>
      <c r="C47" s="605" t="s">
        <v>35</v>
      </c>
      <c r="D47" s="606"/>
      <c r="E47" s="27">
        <v>35.869999999999997</v>
      </c>
      <c r="F47" s="240">
        <v>2296</v>
      </c>
      <c r="G47" s="229">
        <f t="shared" si="31"/>
        <v>82357.51999999999</v>
      </c>
      <c r="H47" s="31" t="s">
        <v>40</v>
      </c>
      <c r="I47" s="237">
        <v>9</v>
      </c>
      <c r="J47" s="29">
        <v>3000</v>
      </c>
      <c r="K47" s="12">
        <f t="shared" si="1"/>
        <v>333.33333333333331</v>
      </c>
      <c r="L47" s="237">
        <v>9</v>
      </c>
      <c r="M47" s="13">
        <f t="shared" si="32"/>
        <v>2870.0000000000009</v>
      </c>
      <c r="N47" s="13">
        <f t="shared" si="3"/>
        <v>318.88888888888897</v>
      </c>
      <c r="O47" s="14">
        <f t="shared" si="4"/>
        <v>0</v>
      </c>
      <c r="P47" s="15">
        <f t="shared" si="5"/>
        <v>-14.444444444444343</v>
      </c>
      <c r="Q47" s="228">
        <f t="shared" si="6"/>
        <v>0.956666666666667</v>
      </c>
      <c r="R47" s="627"/>
      <c r="S47" s="32">
        <v>0.37708333333333333</v>
      </c>
      <c r="T47" s="32">
        <v>0.41041666666666665</v>
      </c>
      <c r="U47" s="229">
        <f t="shared" si="34"/>
        <v>4.9999999999999822</v>
      </c>
      <c r="V47" s="238">
        <f t="shared" si="33"/>
        <v>47.999999999999986</v>
      </c>
      <c r="W47" s="16"/>
      <c r="X47" s="16"/>
      <c r="Y47" s="19"/>
      <c r="Z47" s="19"/>
      <c r="AA47" s="607"/>
      <c r="AB47" s="608"/>
      <c r="AC47" s="136"/>
      <c r="AD47" s="18"/>
      <c r="AE47" s="14">
        <f t="shared" si="8"/>
        <v>-129.99999999999909</v>
      </c>
      <c r="AF47" s="228">
        <f t="shared" si="9"/>
        <v>0.956666666666667</v>
      </c>
      <c r="AG47" s="627"/>
    </row>
    <row r="48" spans="1:33" ht="15.75" customHeight="1">
      <c r="A48" s="625" t="s">
        <v>1130</v>
      </c>
      <c r="B48" s="27" t="s">
        <v>1124</v>
      </c>
      <c r="C48" s="609"/>
      <c r="D48" s="610"/>
      <c r="E48" s="234"/>
      <c r="F48" s="240"/>
      <c r="G48" s="229"/>
      <c r="H48" s="240"/>
      <c r="I48" s="21">
        <v>9.75</v>
      </c>
      <c r="J48" s="29">
        <v>3000</v>
      </c>
      <c r="K48" s="12">
        <f t="shared" si="1"/>
        <v>307.69230769230768</v>
      </c>
      <c r="L48" s="21">
        <v>9.75</v>
      </c>
      <c r="M48" s="13">
        <f>AVERAGE(M44:M47)</f>
        <v>2867.9314516129034</v>
      </c>
      <c r="N48" s="12">
        <f t="shared" si="3"/>
        <v>294.14681555004137</v>
      </c>
      <c r="O48" s="14">
        <f t="shared" si="4"/>
        <v>0</v>
      </c>
      <c r="P48" s="15">
        <f t="shared" si="5"/>
        <v>-13.545492142266312</v>
      </c>
      <c r="Q48" s="228">
        <f t="shared" si="6"/>
        <v>0.95597715053763443</v>
      </c>
      <c r="R48" s="628"/>
      <c r="S48" s="32"/>
      <c r="T48" s="32"/>
      <c r="U48" s="229"/>
      <c r="V48" s="238"/>
      <c r="W48" s="16"/>
      <c r="X48" s="16"/>
      <c r="Y48" s="22">
        <f>SUM(Y44:Y47)</f>
        <v>0</v>
      </c>
      <c r="Z48" s="22">
        <f>SUM(Z44:Z47)</f>
        <v>0</v>
      </c>
      <c r="AA48" s="619"/>
      <c r="AB48" s="620"/>
      <c r="AC48" s="22">
        <v>4</v>
      </c>
      <c r="AD48" s="22">
        <f>SUM(AD44:AD47)</f>
        <v>0</v>
      </c>
      <c r="AE48" s="14">
        <f t="shared" si="8"/>
        <v>-132.0685483870966</v>
      </c>
      <c r="AF48" s="228">
        <f t="shared" si="9"/>
        <v>0.95597715053763443</v>
      </c>
      <c r="AG48" s="628"/>
    </row>
    <row r="49" spans="1:33" ht="15.75" customHeight="1">
      <c r="A49" s="621" t="s">
        <v>1131</v>
      </c>
      <c r="B49" s="27" t="s">
        <v>5</v>
      </c>
      <c r="C49" s="660" t="s">
        <v>15</v>
      </c>
      <c r="D49" s="660"/>
      <c r="E49" s="27">
        <v>59.04</v>
      </c>
      <c r="F49" s="30">
        <v>1822</v>
      </c>
      <c r="G49" s="229">
        <f t="shared" ref="G49:G55" si="35">E49*F49</f>
        <v>107570.88</v>
      </c>
      <c r="H49" s="31" t="s">
        <v>40</v>
      </c>
      <c r="I49" s="237">
        <v>19</v>
      </c>
      <c r="J49" s="29">
        <v>2000</v>
      </c>
      <c r="K49" s="12">
        <f t="shared" si="1"/>
        <v>105.26315789473684</v>
      </c>
      <c r="L49" s="237">
        <v>19</v>
      </c>
      <c r="M49" s="13">
        <f t="shared" ref="M49" si="36">F49/V49*60</f>
        <v>1917.8947368421052</v>
      </c>
      <c r="N49" s="13">
        <f t="shared" si="3"/>
        <v>100.94182825484764</v>
      </c>
      <c r="O49" s="14">
        <f t="shared" si="4"/>
        <v>0</v>
      </c>
      <c r="P49" s="15">
        <f t="shared" si="5"/>
        <v>-4.3213296398891998</v>
      </c>
      <c r="Q49" s="228">
        <f t="shared" si="6"/>
        <v>0.95894736842105255</v>
      </c>
      <c r="R49" s="616">
        <f>Q56</f>
        <v>0.96151749224677674</v>
      </c>
      <c r="S49" s="32">
        <v>0.20833333333333334</v>
      </c>
      <c r="T49" s="32">
        <v>0.24791666666666667</v>
      </c>
      <c r="U49" s="20"/>
      <c r="V49" s="238">
        <f t="shared" ref="V49:V55" si="37">(T49-S49)*24*60</f>
        <v>57</v>
      </c>
      <c r="W49" s="16"/>
      <c r="X49" s="16"/>
      <c r="Y49" s="20"/>
      <c r="Z49" s="20"/>
      <c r="AA49" s="612"/>
      <c r="AB49" s="612"/>
      <c r="AC49" s="136">
        <v>7</v>
      </c>
      <c r="AD49" s="18"/>
      <c r="AE49" s="14">
        <f t="shared" si="8"/>
        <v>-82.105263157894797</v>
      </c>
      <c r="AF49" s="228">
        <f t="shared" si="9"/>
        <v>0.95894736842105255</v>
      </c>
      <c r="AG49" s="616">
        <f>AF56</f>
        <v>0.96151749224677674</v>
      </c>
    </row>
    <row r="50" spans="1:33" ht="15.75" customHeight="1">
      <c r="A50" s="621" t="s">
        <v>1131</v>
      </c>
      <c r="B50" s="27" t="s">
        <v>5</v>
      </c>
      <c r="C50" s="660" t="s">
        <v>31</v>
      </c>
      <c r="D50" s="660"/>
      <c r="E50" s="27">
        <v>56.43</v>
      </c>
      <c r="F50" s="30">
        <v>1195</v>
      </c>
      <c r="G50" s="229">
        <f t="shared" si="35"/>
        <v>67433.850000000006</v>
      </c>
      <c r="H50" s="31" t="s">
        <v>40</v>
      </c>
      <c r="I50" s="237">
        <v>22</v>
      </c>
      <c r="J50" s="29">
        <v>2000</v>
      </c>
      <c r="K50" s="12">
        <f t="shared" si="1"/>
        <v>90.909090909090907</v>
      </c>
      <c r="L50" s="237">
        <v>22</v>
      </c>
      <c r="M50" s="13">
        <f>F50/V50*60</f>
        <v>1937.8378378378361</v>
      </c>
      <c r="N50" s="13">
        <f t="shared" si="3"/>
        <v>88.083538083538002</v>
      </c>
      <c r="O50" s="14">
        <f t="shared" si="4"/>
        <v>0</v>
      </c>
      <c r="P50" s="15">
        <f t="shared" si="5"/>
        <v>-2.8255528255529043</v>
      </c>
      <c r="Q50" s="228">
        <f t="shared" si="6"/>
        <v>0.96891891891891802</v>
      </c>
      <c r="R50" s="616"/>
      <c r="S50" s="32">
        <v>0.25138888888888888</v>
      </c>
      <c r="T50" s="32">
        <v>0.27708333333333335</v>
      </c>
      <c r="U50" s="229">
        <f t="shared" ref="U50:U55" si="38">IF(S50=TIME(17,0,0),"",(S50-T49)*24*60)</f>
        <v>4.9999999999999822</v>
      </c>
      <c r="V50" s="238">
        <f t="shared" si="37"/>
        <v>37.000000000000028</v>
      </c>
      <c r="W50" s="16"/>
      <c r="X50" s="16"/>
      <c r="Y50" s="16"/>
      <c r="Z50" s="16"/>
      <c r="AA50" s="612"/>
      <c r="AB50" s="612"/>
      <c r="AC50" s="136"/>
      <c r="AD50" s="18"/>
      <c r="AE50" s="14">
        <f t="shared" si="8"/>
        <v>-62.162162162163895</v>
      </c>
      <c r="AF50" s="228">
        <f t="shared" si="9"/>
        <v>0.96891891891891802</v>
      </c>
      <c r="AG50" s="616"/>
    </row>
    <row r="51" spans="1:33" ht="15.75" customHeight="1">
      <c r="A51" s="621" t="s">
        <v>1131</v>
      </c>
      <c r="B51" s="27" t="s">
        <v>5</v>
      </c>
      <c r="C51" s="605" t="s">
        <v>81</v>
      </c>
      <c r="D51" s="606"/>
      <c r="E51" s="27">
        <v>51.44</v>
      </c>
      <c r="F51" s="30">
        <v>1694</v>
      </c>
      <c r="G51" s="229">
        <f t="shared" si="35"/>
        <v>87139.36</v>
      </c>
      <c r="H51" s="31" t="s">
        <v>40</v>
      </c>
      <c r="I51" s="237">
        <v>25</v>
      </c>
      <c r="J51" s="29">
        <v>2000</v>
      </c>
      <c r="K51" s="12">
        <f t="shared" si="1"/>
        <v>80</v>
      </c>
      <c r="L51" s="237">
        <v>25</v>
      </c>
      <c r="M51" s="13">
        <f t="shared" ref="M51:M55" si="39">F51/V51*60</f>
        <v>1917.7358490566048</v>
      </c>
      <c r="N51" s="13">
        <f t="shared" si="3"/>
        <v>76.7094339622642</v>
      </c>
      <c r="O51" s="14">
        <f t="shared" si="4"/>
        <v>0</v>
      </c>
      <c r="P51" s="15">
        <f t="shared" si="5"/>
        <v>-3.2905660377358004</v>
      </c>
      <c r="Q51" s="228">
        <f t="shared" si="6"/>
        <v>0.9588679245283025</v>
      </c>
      <c r="R51" s="616"/>
      <c r="S51" s="32">
        <v>0.28194444444444444</v>
      </c>
      <c r="T51" s="32">
        <v>0.31874999999999998</v>
      </c>
      <c r="U51" s="229">
        <f t="shared" si="38"/>
        <v>6.9999999999999751</v>
      </c>
      <c r="V51" s="238">
        <f t="shared" si="37"/>
        <v>52.999999999999972</v>
      </c>
      <c r="W51" s="16"/>
      <c r="X51" s="16"/>
      <c r="Y51" s="19"/>
      <c r="Z51" s="19"/>
      <c r="AA51" s="612"/>
      <c r="AB51" s="612"/>
      <c r="AC51" s="136"/>
      <c r="AD51" s="18"/>
      <c r="AE51" s="14">
        <f t="shared" si="8"/>
        <v>-82.26415094339518</v>
      </c>
      <c r="AF51" s="228">
        <f t="shared" si="9"/>
        <v>0.95886792452830238</v>
      </c>
      <c r="AG51" s="616"/>
    </row>
    <row r="52" spans="1:33" ht="15.75" customHeight="1">
      <c r="A52" s="621" t="s">
        <v>1131</v>
      </c>
      <c r="B52" s="27" t="s">
        <v>8</v>
      </c>
      <c r="C52" s="230" t="s">
        <v>61</v>
      </c>
      <c r="D52" s="231"/>
      <c r="E52" s="27">
        <v>46</v>
      </c>
      <c r="F52" s="30">
        <v>2104</v>
      </c>
      <c r="G52" s="229">
        <f t="shared" si="35"/>
        <v>96784</v>
      </c>
      <c r="H52" s="31" t="s">
        <v>40</v>
      </c>
      <c r="I52" s="237">
        <v>16</v>
      </c>
      <c r="J52" s="29">
        <v>2000</v>
      </c>
      <c r="K52" s="12">
        <f t="shared" si="1"/>
        <v>125</v>
      </c>
      <c r="L52" s="237">
        <v>16</v>
      </c>
      <c r="M52" s="13">
        <f t="shared" si="39"/>
        <v>1912.7272727272727</v>
      </c>
      <c r="N52" s="13">
        <f t="shared" si="3"/>
        <v>119.54545454545455</v>
      </c>
      <c r="O52" s="14">
        <f t="shared" si="4"/>
        <v>0</v>
      </c>
      <c r="P52" s="15">
        <f t="shared" si="5"/>
        <v>-5.4545454545454533</v>
      </c>
      <c r="Q52" s="228">
        <f t="shared" si="6"/>
        <v>0.95636363636363642</v>
      </c>
      <c r="R52" s="616"/>
      <c r="S52" s="32">
        <v>0.32430555555555551</v>
      </c>
      <c r="T52" s="32">
        <v>0.37013888888888885</v>
      </c>
      <c r="U52" s="229">
        <f t="shared" si="38"/>
        <v>7.9999999999999716</v>
      </c>
      <c r="V52" s="238">
        <f t="shared" si="37"/>
        <v>66</v>
      </c>
      <c r="W52" s="16"/>
      <c r="X52" s="16"/>
      <c r="Y52" s="19"/>
      <c r="Z52" s="19"/>
      <c r="AA52" s="612"/>
      <c r="AB52" s="612"/>
      <c r="AC52" s="136"/>
      <c r="AD52" s="18"/>
      <c r="AE52" s="14">
        <f t="shared" si="8"/>
        <v>-87.272727272727252</v>
      </c>
      <c r="AF52" s="228">
        <f t="shared" si="9"/>
        <v>0.95636363636363642</v>
      </c>
      <c r="AG52" s="616"/>
    </row>
    <row r="53" spans="1:33" ht="15.75" customHeight="1">
      <c r="A53" s="621" t="s">
        <v>1131</v>
      </c>
      <c r="B53" s="27" t="s">
        <v>8</v>
      </c>
      <c r="C53" s="230" t="s">
        <v>79</v>
      </c>
      <c r="D53" s="231"/>
      <c r="E53" s="27">
        <v>46</v>
      </c>
      <c r="F53" s="30">
        <v>2754</v>
      </c>
      <c r="G53" s="229">
        <f t="shared" si="35"/>
        <v>126684</v>
      </c>
      <c r="H53" s="31" t="s">
        <v>40</v>
      </c>
      <c r="I53" s="237">
        <v>17</v>
      </c>
      <c r="J53" s="29">
        <v>2000</v>
      </c>
      <c r="K53" s="12">
        <f t="shared" si="1"/>
        <v>117.64705882352941</v>
      </c>
      <c r="L53" s="237">
        <v>17</v>
      </c>
      <c r="M53" s="13">
        <f t="shared" si="39"/>
        <v>1921.395348837209</v>
      </c>
      <c r="N53" s="13">
        <f t="shared" si="3"/>
        <v>113.02325581395347</v>
      </c>
      <c r="O53" s="14">
        <f t="shared" si="4"/>
        <v>0</v>
      </c>
      <c r="P53" s="15">
        <f t="shared" si="5"/>
        <v>-4.623803009575937</v>
      </c>
      <c r="Q53" s="228">
        <f t="shared" si="6"/>
        <v>0.96069767441860454</v>
      </c>
      <c r="R53" s="616"/>
      <c r="S53" s="32">
        <v>0.37499999999999994</v>
      </c>
      <c r="T53" s="32">
        <v>0.43472222222222218</v>
      </c>
      <c r="U53" s="229">
        <f t="shared" si="38"/>
        <v>6.9999999999999751</v>
      </c>
      <c r="V53" s="238">
        <f t="shared" si="37"/>
        <v>86.000000000000014</v>
      </c>
      <c r="W53" s="16"/>
      <c r="X53" s="16"/>
      <c r="Y53" s="19"/>
      <c r="Z53" s="19"/>
      <c r="AA53" s="612"/>
      <c r="AB53" s="612"/>
      <c r="AC53" s="136"/>
      <c r="AD53" s="18"/>
      <c r="AE53" s="14">
        <f t="shared" si="8"/>
        <v>-78.604651162791015</v>
      </c>
      <c r="AF53" s="228">
        <f t="shared" si="9"/>
        <v>0.96069767441860454</v>
      </c>
      <c r="AG53" s="616"/>
    </row>
    <row r="54" spans="1:33" ht="15.75" customHeight="1">
      <c r="A54" s="621" t="s">
        <v>1131</v>
      </c>
      <c r="B54" s="27" t="s">
        <v>5</v>
      </c>
      <c r="C54" s="605" t="s">
        <v>77</v>
      </c>
      <c r="D54" s="606"/>
      <c r="E54" s="27">
        <v>54.09</v>
      </c>
      <c r="F54" s="30">
        <v>1264</v>
      </c>
      <c r="G54" s="229">
        <f t="shared" si="35"/>
        <v>68369.760000000009</v>
      </c>
      <c r="H54" s="31" t="s">
        <v>40</v>
      </c>
      <c r="I54" s="237">
        <v>13</v>
      </c>
      <c r="J54" s="29">
        <v>2000</v>
      </c>
      <c r="K54" s="12">
        <f t="shared" si="1"/>
        <v>153.84615384615384</v>
      </c>
      <c r="L54" s="237">
        <v>13</v>
      </c>
      <c r="M54" s="13">
        <f t="shared" si="39"/>
        <v>1944.6153846153836</v>
      </c>
      <c r="N54" s="13">
        <f t="shared" si="3"/>
        <v>149.58579881656797</v>
      </c>
      <c r="O54" s="14">
        <f t="shared" si="4"/>
        <v>0</v>
      </c>
      <c r="P54" s="15">
        <f t="shared" si="5"/>
        <v>-4.2603550295858668</v>
      </c>
      <c r="Q54" s="228">
        <f t="shared" si="6"/>
        <v>0.97230769230769187</v>
      </c>
      <c r="R54" s="616"/>
      <c r="S54" s="32">
        <v>0.70833333333333337</v>
      </c>
      <c r="T54" s="32">
        <v>0.73541666666666672</v>
      </c>
      <c r="U54" s="229" t="str">
        <f t="shared" si="38"/>
        <v/>
      </c>
      <c r="V54" s="238">
        <f t="shared" si="37"/>
        <v>39.000000000000021</v>
      </c>
      <c r="W54" s="16"/>
      <c r="X54" s="16"/>
      <c r="Y54" s="19"/>
      <c r="Z54" s="19"/>
      <c r="AA54" s="607"/>
      <c r="AB54" s="608"/>
      <c r="AC54" s="136"/>
      <c r="AD54" s="18"/>
      <c r="AE54" s="14">
        <f t="shared" si="8"/>
        <v>-55.384615384616382</v>
      </c>
      <c r="AF54" s="228">
        <f t="shared" si="9"/>
        <v>0.97230769230769176</v>
      </c>
      <c r="AG54" s="616"/>
    </row>
    <row r="55" spans="1:33" ht="15.75" customHeight="1">
      <c r="A55" s="621" t="s">
        <v>1131</v>
      </c>
      <c r="B55" s="27" t="s">
        <v>5</v>
      </c>
      <c r="C55" s="605" t="s">
        <v>62</v>
      </c>
      <c r="D55" s="606"/>
      <c r="E55" s="27">
        <v>51.06</v>
      </c>
      <c r="F55" s="30">
        <v>3309</v>
      </c>
      <c r="G55" s="229">
        <f t="shared" si="35"/>
        <v>168957.54</v>
      </c>
      <c r="H55" s="31" t="s">
        <v>40</v>
      </c>
      <c r="I55" s="237">
        <v>13</v>
      </c>
      <c r="J55" s="29">
        <v>2000</v>
      </c>
      <c r="K55" s="12">
        <f t="shared" si="1"/>
        <v>153.84615384615384</v>
      </c>
      <c r="L55" s="237">
        <v>13</v>
      </c>
      <c r="M55" s="13">
        <f t="shared" si="39"/>
        <v>1909.0384615384626</v>
      </c>
      <c r="N55" s="13">
        <f t="shared" si="3"/>
        <v>146.84911242603559</v>
      </c>
      <c r="O55" s="14">
        <f t="shared" si="4"/>
        <v>0</v>
      </c>
      <c r="P55" s="15">
        <f t="shared" si="5"/>
        <v>-6.9970414201182507</v>
      </c>
      <c r="Q55" s="228">
        <f t="shared" si="6"/>
        <v>0.9545192307692314</v>
      </c>
      <c r="R55" s="616"/>
      <c r="S55" s="32">
        <v>0.73888888888888893</v>
      </c>
      <c r="T55" s="32">
        <v>0.81111111111111112</v>
      </c>
      <c r="U55" s="229">
        <f t="shared" si="38"/>
        <v>4.9999999999999822</v>
      </c>
      <c r="V55" s="238">
        <f t="shared" si="37"/>
        <v>103.99999999999994</v>
      </c>
      <c r="W55" s="16"/>
      <c r="X55" s="16"/>
      <c r="Y55" s="19"/>
      <c r="Z55" s="19"/>
      <c r="AA55" s="607"/>
      <c r="AB55" s="608"/>
      <c r="AC55" s="136"/>
      <c r="AD55" s="18"/>
      <c r="AE55" s="14">
        <f t="shared" si="8"/>
        <v>-90.96153846153743</v>
      </c>
      <c r="AF55" s="228">
        <f t="shared" si="9"/>
        <v>0.95451923076923129</v>
      </c>
      <c r="AG55" s="616"/>
    </row>
    <row r="56" spans="1:33">
      <c r="A56" s="622" t="s">
        <v>1131</v>
      </c>
      <c r="B56" s="27" t="s">
        <v>1124</v>
      </c>
      <c r="C56" s="658"/>
      <c r="D56" s="658"/>
      <c r="E56" s="236"/>
      <c r="F56" s="28"/>
      <c r="G56" s="12"/>
      <c r="H56" s="240"/>
      <c r="I56" s="21">
        <v>17.857142857142858</v>
      </c>
      <c r="J56" s="29">
        <v>2000</v>
      </c>
      <c r="K56" s="12">
        <f t="shared" si="1"/>
        <v>112</v>
      </c>
      <c r="L56" s="21">
        <v>17.857142857142858</v>
      </c>
      <c r="M56" s="13">
        <f>AVERAGE(M49:M55)</f>
        <v>1923.0349844935536</v>
      </c>
      <c r="N56" s="12">
        <f t="shared" si="3"/>
        <v>107.689959131639</v>
      </c>
      <c r="O56" s="14">
        <f t="shared" si="4"/>
        <v>0</v>
      </c>
      <c r="P56" s="15">
        <f t="shared" si="5"/>
        <v>-4.3100408683609999</v>
      </c>
      <c r="Q56" s="228">
        <f t="shared" si="6"/>
        <v>0.96151749224677674</v>
      </c>
      <c r="R56" s="616"/>
      <c r="S56" s="32"/>
      <c r="T56" s="32"/>
      <c r="U56" s="229"/>
      <c r="V56" s="238"/>
      <c r="W56" s="12"/>
      <c r="X56" s="12"/>
      <c r="Y56" s="22">
        <f>SUM(Y49:Y55)</f>
        <v>0</v>
      </c>
      <c r="Z56" s="22">
        <f>SUM(Z49:Z55)</f>
        <v>0</v>
      </c>
      <c r="AA56" s="611"/>
      <c r="AB56" s="611"/>
      <c r="AC56" s="22">
        <v>7</v>
      </c>
      <c r="AD56" s="22">
        <f>SUM(AD49:AD55)</f>
        <v>0</v>
      </c>
      <c r="AE56" s="14">
        <f>M56-J56</f>
        <v>-76.965015506446434</v>
      </c>
      <c r="AF56" s="228">
        <f t="shared" si="9"/>
        <v>0.96151749224677674</v>
      </c>
      <c r="AG56" s="616"/>
    </row>
    <row r="57" spans="1:33" ht="15.75" customHeight="1">
      <c r="A57" s="617" t="s">
        <v>1132</v>
      </c>
      <c r="B57" s="240" t="s">
        <v>27</v>
      </c>
      <c r="C57" s="660" t="s">
        <v>28</v>
      </c>
      <c r="D57" s="660"/>
      <c r="E57" s="27">
        <v>35.119999999999997</v>
      </c>
      <c r="F57" s="30">
        <v>3999</v>
      </c>
      <c r="G57" s="229">
        <f t="shared" ref="G57:G60" si="40">E57*F57</f>
        <v>140444.87999999998</v>
      </c>
      <c r="H57" s="31" t="s">
        <v>40</v>
      </c>
      <c r="I57" s="237">
        <v>10</v>
      </c>
      <c r="J57" s="29">
        <v>3000</v>
      </c>
      <c r="K57" s="12">
        <f t="shared" si="1"/>
        <v>300</v>
      </c>
      <c r="L57" s="237">
        <v>10</v>
      </c>
      <c r="M57" s="13">
        <f t="shared" ref="M57:M60" si="41">F57/V57*60</f>
        <v>2856.428571428572</v>
      </c>
      <c r="N57" s="12">
        <f t="shared" si="3"/>
        <v>285.64285714285722</v>
      </c>
      <c r="O57" s="14">
        <f t="shared" si="4"/>
        <v>0</v>
      </c>
      <c r="P57" s="15">
        <f t="shared" si="5"/>
        <v>-14.357142857142776</v>
      </c>
      <c r="Q57" s="228">
        <f t="shared" si="6"/>
        <v>0.9521428571428574</v>
      </c>
      <c r="R57" s="616">
        <f>Q61</f>
        <v>0.9590432590074125</v>
      </c>
      <c r="S57" s="32">
        <v>0.20833333333333334</v>
      </c>
      <c r="T57" s="32">
        <v>0.26666666666666666</v>
      </c>
      <c r="U57" s="229"/>
      <c r="V57" s="238">
        <f t="shared" ref="V57:V60" si="42">(T57-S57)*24*60</f>
        <v>83.999999999999986</v>
      </c>
      <c r="W57" s="16"/>
      <c r="X57" s="16"/>
      <c r="Y57" s="20"/>
      <c r="Z57" s="20"/>
      <c r="AA57" s="612"/>
      <c r="AB57" s="612"/>
      <c r="AC57" s="136">
        <v>4</v>
      </c>
      <c r="AD57" s="18"/>
      <c r="AE57" s="14">
        <f t="shared" ref="AE57:AE68" si="43">M57-J57</f>
        <v>-143.57142857142799</v>
      </c>
      <c r="AF57" s="228">
        <f t="shared" si="9"/>
        <v>0.95214285714285729</v>
      </c>
      <c r="AG57" s="616">
        <f>AF61</f>
        <v>0.95904325900741239</v>
      </c>
    </row>
    <row r="58" spans="1:33" ht="15.75" customHeight="1">
      <c r="A58" s="617" t="s">
        <v>1132</v>
      </c>
      <c r="B58" s="240" t="s">
        <v>27</v>
      </c>
      <c r="C58" s="660" t="s">
        <v>34</v>
      </c>
      <c r="D58" s="660"/>
      <c r="E58" s="27">
        <v>26.78</v>
      </c>
      <c r="F58" s="30">
        <v>2247</v>
      </c>
      <c r="G58" s="229">
        <f t="shared" si="40"/>
        <v>60174.66</v>
      </c>
      <c r="H58" s="31" t="s">
        <v>40</v>
      </c>
      <c r="I58" s="237">
        <v>10</v>
      </c>
      <c r="J58" s="29">
        <v>3000</v>
      </c>
      <c r="K58" s="12">
        <f t="shared" si="1"/>
        <v>300</v>
      </c>
      <c r="L58" s="237">
        <v>10</v>
      </c>
      <c r="M58" s="13">
        <f t="shared" si="41"/>
        <v>2868.5106382978729</v>
      </c>
      <c r="N58" s="12">
        <f t="shared" si="3"/>
        <v>286.85106382978728</v>
      </c>
      <c r="O58" s="14">
        <f t="shared" si="4"/>
        <v>0</v>
      </c>
      <c r="P58" s="15">
        <f t="shared" si="5"/>
        <v>-13.148936170212721</v>
      </c>
      <c r="Q58" s="228">
        <f t="shared" si="6"/>
        <v>0.95617021276595759</v>
      </c>
      <c r="R58" s="616"/>
      <c r="S58" s="32">
        <v>0.27013888888888887</v>
      </c>
      <c r="T58" s="32">
        <v>0.30277777777777776</v>
      </c>
      <c r="U58" s="229">
        <f t="shared" ref="U58:U60" si="44">(S58-T57)*24*60</f>
        <v>4.9999999999999822</v>
      </c>
      <c r="V58" s="238">
        <f t="shared" si="42"/>
        <v>46.999999999999993</v>
      </c>
      <c r="W58" s="229"/>
      <c r="X58" s="229"/>
      <c r="Y58" s="229"/>
      <c r="Z58" s="229"/>
      <c r="AA58" s="612"/>
      <c r="AB58" s="612"/>
      <c r="AC58" s="136"/>
      <c r="AD58" s="18"/>
      <c r="AE58" s="14">
        <f t="shared" si="43"/>
        <v>-131.4893617021271</v>
      </c>
      <c r="AF58" s="228">
        <f t="shared" si="9"/>
        <v>0.95617021276595759</v>
      </c>
      <c r="AG58" s="616"/>
    </row>
    <row r="59" spans="1:33" ht="15.75" customHeight="1">
      <c r="A59" s="617" t="s">
        <v>1132</v>
      </c>
      <c r="B59" s="240" t="s">
        <v>27</v>
      </c>
      <c r="C59" s="660" t="s">
        <v>36</v>
      </c>
      <c r="D59" s="660"/>
      <c r="E59" s="27">
        <v>34.35</v>
      </c>
      <c r="F59" s="30">
        <v>1122</v>
      </c>
      <c r="G59" s="229">
        <f t="shared" si="40"/>
        <v>38540.700000000004</v>
      </c>
      <c r="H59" s="31" t="s">
        <v>40</v>
      </c>
      <c r="I59" s="237">
        <v>8</v>
      </c>
      <c r="J59" s="29">
        <v>3000</v>
      </c>
      <c r="K59" s="12">
        <f t="shared" si="1"/>
        <v>375</v>
      </c>
      <c r="L59" s="237">
        <v>8</v>
      </c>
      <c r="M59" s="13">
        <f t="shared" si="41"/>
        <v>2926.9565217391305</v>
      </c>
      <c r="N59" s="12">
        <f t="shared" si="3"/>
        <v>365.86956521739131</v>
      </c>
      <c r="O59" s="14">
        <f t="shared" si="4"/>
        <v>0</v>
      </c>
      <c r="P59" s="15">
        <f t="shared" si="5"/>
        <v>-9.1304347826086882</v>
      </c>
      <c r="Q59" s="228">
        <f t="shared" si="6"/>
        <v>0.97565217391304349</v>
      </c>
      <c r="R59" s="616"/>
      <c r="S59" s="32">
        <v>0.30694444444444441</v>
      </c>
      <c r="T59" s="32">
        <v>0.32291666666666663</v>
      </c>
      <c r="U59" s="229">
        <f t="shared" si="44"/>
        <v>5.9999999999999787</v>
      </c>
      <c r="V59" s="238">
        <f t="shared" si="42"/>
        <v>23</v>
      </c>
      <c r="W59" s="229"/>
      <c r="X59" s="229"/>
      <c r="Y59" s="229"/>
      <c r="Z59" s="229"/>
      <c r="AA59" s="612"/>
      <c r="AB59" s="612"/>
      <c r="AC59" s="136"/>
      <c r="AD59" s="18"/>
      <c r="AE59" s="14">
        <f t="shared" si="43"/>
        <v>-73.043478260869506</v>
      </c>
      <c r="AF59" s="228">
        <f t="shared" si="9"/>
        <v>0.97565217391304349</v>
      </c>
      <c r="AG59" s="616"/>
    </row>
    <row r="60" spans="1:33" ht="15.75" customHeight="1">
      <c r="A60" s="617" t="s">
        <v>1132</v>
      </c>
      <c r="B60" s="240" t="s">
        <v>27</v>
      </c>
      <c r="C60" s="660" t="s">
        <v>737</v>
      </c>
      <c r="D60" s="660"/>
      <c r="E60" s="27">
        <v>36.14</v>
      </c>
      <c r="F60" s="30">
        <v>3666</v>
      </c>
      <c r="G60" s="229">
        <f t="shared" si="40"/>
        <v>132489.24</v>
      </c>
      <c r="H60" s="31" t="s">
        <v>40</v>
      </c>
      <c r="I60" s="237">
        <v>11</v>
      </c>
      <c r="J60" s="29">
        <v>3000</v>
      </c>
      <c r="K60" s="12">
        <f t="shared" si="1"/>
        <v>272.72727272727275</v>
      </c>
      <c r="L60" s="237">
        <v>11</v>
      </c>
      <c r="M60" s="13">
        <f t="shared" si="41"/>
        <v>2856.623376623375</v>
      </c>
      <c r="N60" s="12">
        <f t="shared" si="3"/>
        <v>259.69303423848862</v>
      </c>
      <c r="O60" s="14">
        <f t="shared" si="4"/>
        <v>0</v>
      </c>
      <c r="P60" s="15">
        <f t="shared" si="5"/>
        <v>-13.034238488784126</v>
      </c>
      <c r="Q60" s="228">
        <f t="shared" si="6"/>
        <v>0.9522077922077915</v>
      </c>
      <c r="R60" s="616"/>
      <c r="S60" s="32">
        <v>0.32777777777777772</v>
      </c>
      <c r="T60" s="32">
        <v>0.38124999999999998</v>
      </c>
      <c r="U60" s="229">
        <f t="shared" si="44"/>
        <v>6.9999999999999751</v>
      </c>
      <c r="V60" s="238">
        <f t="shared" si="42"/>
        <v>77.000000000000043</v>
      </c>
      <c r="W60" s="229"/>
      <c r="X60" s="229"/>
      <c r="Y60" s="229"/>
      <c r="Z60" s="229"/>
      <c r="AA60" s="612"/>
      <c r="AB60" s="612"/>
      <c r="AC60" s="136"/>
      <c r="AD60" s="18"/>
      <c r="AE60" s="14">
        <f t="shared" si="43"/>
        <v>-143.37662337662505</v>
      </c>
      <c r="AF60" s="228">
        <f t="shared" si="9"/>
        <v>0.95220779220779161</v>
      </c>
      <c r="AG60" s="616"/>
    </row>
    <row r="61" spans="1:33">
      <c r="A61" s="618" t="s">
        <v>1132</v>
      </c>
      <c r="B61" s="27" t="s">
        <v>1124</v>
      </c>
      <c r="C61" s="658"/>
      <c r="D61" s="658"/>
      <c r="E61" s="236"/>
      <c r="F61" s="28"/>
      <c r="G61" s="12"/>
      <c r="H61" s="240"/>
      <c r="I61" s="21">
        <v>9.75</v>
      </c>
      <c r="J61" s="29">
        <v>3000</v>
      </c>
      <c r="K61" s="12">
        <f t="shared" si="1"/>
        <v>307.69230769230768</v>
      </c>
      <c r="L61" s="21">
        <v>9.75</v>
      </c>
      <c r="M61" s="13">
        <f>AVERAGE(M57:M60)</f>
        <v>2877.1297770222372</v>
      </c>
      <c r="N61" s="12">
        <f t="shared" si="3"/>
        <v>295.0902335407423</v>
      </c>
      <c r="O61" s="14">
        <f t="shared" si="4"/>
        <v>0</v>
      </c>
      <c r="P61" s="15">
        <f t="shared" si="5"/>
        <v>-12.602074151565375</v>
      </c>
      <c r="Q61" s="228">
        <f t="shared" si="6"/>
        <v>0.9590432590074125</v>
      </c>
      <c r="R61" s="616"/>
      <c r="S61" s="32"/>
      <c r="T61" s="32"/>
      <c r="U61" s="12"/>
      <c r="V61" s="238"/>
      <c r="W61" s="12"/>
      <c r="X61" s="12"/>
      <c r="Y61" s="22">
        <f>SUM(Y57:Y60)</f>
        <v>0</v>
      </c>
      <c r="Z61" s="22">
        <f>SUM(Z57:Z60)</f>
        <v>0</v>
      </c>
      <c r="AA61" s="611"/>
      <c r="AB61" s="611"/>
      <c r="AC61" s="22">
        <v>4</v>
      </c>
      <c r="AD61" s="22">
        <f>SUM(AD57:AD60)</f>
        <v>0</v>
      </c>
      <c r="AE61" s="14">
        <f t="shared" si="43"/>
        <v>-122.87022297776275</v>
      </c>
      <c r="AF61" s="228">
        <f t="shared" si="9"/>
        <v>0.95904325900741239</v>
      </c>
      <c r="AG61" s="616"/>
    </row>
    <row r="62" spans="1:33" ht="15.75" customHeight="1">
      <c r="A62" s="613" t="s">
        <v>1133</v>
      </c>
      <c r="B62" s="240" t="s">
        <v>20</v>
      </c>
      <c r="C62" s="660" t="s">
        <v>39</v>
      </c>
      <c r="D62" s="660"/>
      <c r="E62" s="27">
        <v>19.02</v>
      </c>
      <c r="F62" s="240">
        <v>4800</v>
      </c>
      <c r="G62" s="229">
        <f t="shared" ref="G62:G67" si="45">E62*F62</f>
        <v>91296</v>
      </c>
      <c r="H62" s="31">
        <v>2</v>
      </c>
      <c r="I62" s="237">
        <v>14</v>
      </c>
      <c r="J62" s="29">
        <v>2400</v>
      </c>
      <c r="K62" s="12">
        <f t="shared" si="1"/>
        <v>171.42857142857142</v>
      </c>
      <c r="L62" s="237">
        <v>14</v>
      </c>
      <c r="M62" s="13">
        <f t="shared" ref="M62:M67" si="46">F62/V62*60</f>
        <v>2285.7142857142858</v>
      </c>
      <c r="N62" s="12">
        <f t="shared" si="3"/>
        <v>163.26530612244898</v>
      </c>
      <c r="O62" s="14">
        <f t="shared" si="4"/>
        <v>0</v>
      </c>
      <c r="P62" s="15">
        <f t="shared" si="5"/>
        <v>-8.1632653061224403</v>
      </c>
      <c r="Q62" s="228">
        <f t="shared" si="6"/>
        <v>0.95238095238095244</v>
      </c>
      <c r="R62" s="616">
        <f>Q68</f>
        <v>0.95698078365799299</v>
      </c>
      <c r="S62" s="32">
        <v>8.3333333333333329E-2</v>
      </c>
      <c r="T62" s="32">
        <v>0.17083333333333334</v>
      </c>
      <c r="U62" s="20"/>
      <c r="V62" s="238">
        <f t="shared" ref="V62:V67" si="47">(T62-S62)*24*60</f>
        <v>126</v>
      </c>
      <c r="W62" s="16">
        <f>T62</f>
        <v>0.17083333333333334</v>
      </c>
      <c r="X62" s="16">
        <f>S63</f>
        <v>0.19166666666666668</v>
      </c>
      <c r="Y62" s="16"/>
      <c r="Z62" s="16"/>
      <c r="AA62" s="612"/>
      <c r="AB62" s="612"/>
      <c r="AC62" s="136">
        <v>6</v>
      </c>
      <c r="AD62" s="18"/>
      <c r="AE62" s="14">
        <f t="shared" si="43"/>
        <v>-114.28571428571422</v>
      </c>
      <c r="AF62" s="228">
        <f t="shared" si="9"/>
        <v>0.95238095238095244</v>
      </c>
      <c r="AG62" s="616">
        <f>AF68</f>
        <v>0.95698078365799288</v>
      </c>
    </row>
    <row r="63" spans="1:33" ht="15.75" customHeight="1">
      <c r="A63" s="614" t="s">
        <v>1133</v>
      </c>
      <c r="B63" s="240" t="s">
        <v>20</v>
      </c>
      <c r="C63" s="660" t="s">
        <v>24</v>
      </c>
      <c r="D63" s="660"/>
      <c r="E63" s="27">
        <v>20.36</v>
      </c>
      <c r="F63" s="240">
        <v>3302</v>
      </c>
      <c r="G63" s="229">
        <f t="shared" si="45"/>
        <v>67228.72</v>
      </c>
      <c r="H63" s="31" t="s">
        <v>40</v>
      </c>
      <c r="I63" s="237">
        <v>17</v>
      </c>
      <c r="J63" s="29">
        <v>2400</v>
      </c>
      <c r="K63" s="12">
        <f t="shared" si="1"/>
        <v>141.1764705882353</v>
      </c>
      <c r="L63" s="237">
        <v>17</v>
      </c>
      <c r="M63" s="13">
        <f t="shared" si="46"/>
        <v>2303.7209302325587</v>
      </c>
      <c r="N63" s="12">
        <f t="shared" si="3"/>
        <v>135.51299589603286</v>
      </c>
      <c r="O63" s="14">
        <f t="shared" si="4"/>
        <v>0</v>
      </c>
      <c r="P63" s="15">
        <f t="shared" si="5"/>
        <v>-5.6634746922024419</v>
      </c>
      <c r="Q63" s="228">
        <f t="shared" si="6"/>
        <v>0.95988372093023266</v>
      </c>
      <c r="R63" s="616"/>
      <c r="S63" s="32">
        <v>0.19166666666666668</v>
      </c>
      <c r="T63" s="32">
        <v>0.25138888888888888</v>
      </c>
      <c r="U63" s="229">
        <f t="shared" ref="U63:U67" si="48">(S63-T62)*24*60</f>
        <v>30.000000000000014</v>
      </c>
      <c r="V63" s="238">
        <f t="shared" si="47"/>
        <v>85.999999999999972</v>
      </c>
      <c r="W63" s="16"/>
      <c r="X63" s="16"/>
      <c r="Y63" s="16"/>
      <c r="Z63" s="16"/>
      <c r="AA63" s="612"/>
      <c r="AB63" s="612"/>
      <c r="AC63" s="136"/>
      <c r="AD63" s="18"/>
      <c r="AE63" s="14">
        <f t="shared" si="43"/>
        <v>-96.279069767441342</v>
      </c>
      <c r="AF63" s="228">
        <f t="shared" si="9"/>
        <v>0.95988372093023278</v>
      </c>
      <c r="AG63" s="616"/>
    </row>
    <row r="64" spans="1:33" ht="15.75" customHeight="1">
      <c r="A64" s="614" t="s">
        <v>1133</v>
      </c>
      <c r="B64" s="240" t="s">
        <v>20</v>
      </c>
      <c r="C64" s="660" t="s">
        <v>38</v>
      </c>
      <c r="D64" s="660"/>
      <c r="E64" s="27">
        <v>22.69</v>
      </c>
      <c r="F64" s="240">
        <v>2004</v>
      </c>
      <c r="G64" s="229">
        <f t="shared" si="45"/>
        <v>45470.76</v>
      </c>
      <c r="H64" s="31" t="s">
        <v>40</v>
      </c>
      <c r="I64" s="237">
        <v>15</v>
      </c>
      <c r="J64" s="29">
        <v>2400</v>
      </c>
      <c r="K64" s="12">
        <f t="shared" si="1"/>
        <v>160</v>
      </c>
      <c r="L64" s="237">
        <v>15</v>
      </c>
      <c r="M64" s="13">
        <f t="shared" si="46"/>
        <v>2312.3076923076937</v>
      </c>
      <c r="N64" s="12">
        <f t="shared" si="3"/>
        <v>154.15384615384625</v>
      </c>
      <c r="O64" s="14">
        <f t="shared" si="4"/>
        <v>0</v>
      </c>
      <c r="P64" s="15">
        <f t="shared" si="5"/>
        <v>-5.8461538461537543</v>
      </c>
      <c r="Q64" s="228">
        <f t="shared" si="6"/>
        <v>0.96346153846153904</v>
      </c>
      <c r="R64" s="616"/>
      <c r="S64" s="32">
        <v>0.25694444444444442</v>
      </c>
      <c r="T64" s="32">
        <v>0.29305555555555551</v>
      </c>
      <c r="U64" s="229">
        <f t="shared" si="48"/>
        <v>7.9999999999999716</v>
      </c>
      <c r="V64" s="238">
        <f t="shared" si="47"/>
        <v>51.999999999999972</v>
      </c>
      <c r="W64" s="16"/>
      <c r="X64" s="16"/>
      <c r="Y64" s="16"/>
      <c r="Z64" s="16"/>
      <c r="AA64" s="612"/>
      <c r="AB64" s="612"/>
      <c r="AC64" s="136"/>
      <c r="AD64" s="18"/>
      <c r="AE64" s="14">
        <f t="shared" si="43"/>
        <v>-87.692307692306258</v>
      </c>
      <c r="AF64" s="228">
        <f t="shared" si="9"/>
        <v>0.96346153846153904</v>
      </c>
      <c r="AG64" s="616"/>
    </row>
    <row r="65" spans="1:33" ht="15.75" customHeight="1">
      <c r="A65" s="614" t="s">
        <v>1133</v>
      </c>
      <c r="B65" s="240" t="s">
        <v>20</v>
      </c>
      <c r="C65" s="660" t="s">
        <v>80</v>
      </c>
      <c r="D65" s="660"/>
      <c r="E65" s="27">
        <v>25.98</v>
      </c>
      <c r="F65" s="240">
        <v>3314</v>
      </c>
      <c r="G65" s="229">
        <f t="shared" si="45"/>
        <v>86097.72</v>
      </c>
      <c r="H65" s="31" t="s">
        <v>40</v>
      </c>
      <c r="I65" s="237">
        <v>17</v>
      </c>
      <c r="J65" s="29">
        <v>2400</v>
      </c>
      <c r="K65" s="12">
        <f t="shared" si="1"/>
        <v>141.1764705882353</v>
      </c>
      <c r="L65" s="237">
        <v>17</v>
      </c>
      <c r="M65" s="13">
        <f t="shared" si="46"/>
        <v>2285.5172413793102</v>
      </c>
      <c r="N65" s="12">
        <f t="shared" si="3"/>
        <v>134.4421906693712</v>
      </c>
      <c r="O65" s="14">
        <f t="shared" si="4"/>
        <v>0</v>
      </c>
      <c r="P65" s="15">
        <f t="shared" si="5"/>
        <v>-6.7342799188641038</v>
      </c>
      <c r="Q65" s="228">
        <f t="shared" si="6"/>
        <v>0.95229885057471264</v>
      </c>
      <c r="R65" s="616"/>
      <c r="S65" s="32">
        <v>0.29722222222222217</v>
      </c>
      <c r="T65" s="32">
        <v>0.35763888888888884</v>
      </c>
      <c r="U65" s="229">
        <f t="shared" si="48"/>
        <v>5.9999999999999787</v>
      </c>
      <c r="V65" s="238">
        <f t="shared" si="47"/>
        <v>87.000000000000014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-114.48275862068976</v>
      </c>
      <c r="AF65" s="228">
        <f t="shared" si="9"/>
        <v>0.95229885057471264</v>
      </c>
      <c r="AG65" s="616"/>
    </row>
    <row r="66" spans="1:33" ht="15.75" customHeight="1">
      <c r="A66" s="614" t="s">
        <v>1133</v>
      </c>
      <c r="B66" s="240" t="s">
        <v>20</v>
      </c>
      <c r="C66" s="660" t="s">
        <v>739</v>
      </c>
      <c r="D66" s="660"/>
      <c r="E66" s="27">
        <v>28.29</v>
      </c>
      <c r="F66" s="240">
        <v>7183</v>
      </c>
      <c r="G66" s="229">
        <f t="shared" si="45"/>
        <v>203207.07</v>
      </c>
      <c r="H66" s="31" t="s">
        <v>40</v>
      </c>
      <c r="I66" s="237">
        <v>21</v>
      </c>
      <c r="J66" s="29">
        <v>2400</v>
      </c>
      <c r="K66" s="12">
        <f t="shared" si="1"/>
        <v>114.28571428571429</v>
      </c>
      <c r="L66" s="237">
        <v>21</v>
      </c>
      <c r="M66" s="13">
        <f t="shared" si="46"/>
        <v>2292.4468085106387</v>
      </c>
      <c r="N66" s="12">
        <f t="shared" si="3"/>
        <v>109.16413373860185</v>
      </c>
      <c r="O66" s="14">
        <f t="shared" si="4"/>
        <v>0</v>
      </c>
      <c r="P66" s="15">
        <f t="shared" si="5"/>
        <v>-5.121580547112444</v>
      </c>
      <c r="Q66" s="228">
        <f t="shared" si="6"/>
        <v>0.95518617021276608</v>
      </c>
      <c r="R66" s="616"/>
      <c r="S66" s="32">
        <v>0.36180555555555549</v>
      </c>
      <c r="T66" s="32">
        <v>0.49236111111111103</v>
      </c>
      <c r="U66" s="229">
        <f t="shared" si="48"/>
        <v>5.9999999999999787</v>
      </c>
      <c r="V66" s="238">
        <f t="shared" si="47"/>
        <v>187.99999999999997</v>
      </c>
      <c r="W66" s="16">
        <f>T66</f>
        <v>0.49236111111111103</v>
      </c>
      <c r="X66" s="16">
        <f>S67</f>
        <v>0.5347222222222221</v>
      </c>
      <c r="Y66" s="16"/>
      <c r="Z66" s="16"/>
      <c r="AA66" s="612"/>
      <c r="AB66" s="612"/>
      <c r="AC66" s="136"/>
      <c r="AD66" s="18"/>
      <c r="AE66" s="14">
        <f t="shared" si="43"/>
        <v>-107.55319148936132</v>
      </c>
      <c r="AF66" s="228">
        <f t="shared" si="9"/>
        <v>0.95518617021276608</v>
      </c>
      <c r="AG66" s="616"/>
    </row>
    <row r="67" spans="1:33" ht="15.75" customHeight="1">
      <c r="A67" s="614" t="s">
        <v>1133</v>
      </c>
      <c r="B67" s="240" t="s">
        <v>20</v>
      </c>
      <c r="C67" s="660" t="s">
        <v>39</v>
      </c>
      <c r="D67" s="660"/>
      <c r="E67" s="27">
        <v>19.02</v>
      </c>
      <c r="F67" s="240">
        <v>3758</v>
      </c>
      <c r="G67" s="229">
        <f t="shared" si="45"/>
        <v>71477.16</v>
      </c>
      <c r="H67" s="31" t="s">
        <v>40</v>
      </c>
      <c r="I67" s="237">
        <v>14</v>
      </c>
      <c r="J67" s="29">
        <v>2400</v>
      </c>
      <c r="K67" s="12">
        <f t="shared" si="1"/>
        <v>171.42857142857142</v>
      </c>
      <c r="L67" s="237">
        <v>14</v>
      </c>
      <c r="M67" s="13">
        <f t="shared" si="46"/>
        <v>2300.816326530613</v>
      </c>
      <c r="N67" s="12">
        <f t="shared" si="3"/>
        <v>164.3440233236152</v>
      </c>
      <c r="O67" s="14">
        <f t="shared" si="4"/>
        <v>0</v>
      </c>
      <c r="P67" s="15">
        <f t="shared" si="5"/>
        <v>-7.0845481049562125</v>
      </c>
      <c r="Q67" s="228">
        <f t="shared" si="6"/>
        <v>0.95867346938775544</v>
      </c>
      <c r="R67" s="616"/>
      <c r="S67" s="32">
        <v>0.5347222222222221</v>
      </c>
      <c r="T67" s="32">
        <v>0.60277777777777763</v>
      </c>
      <c r="U67" s="229">
        <f t="shared" si="48"/>
        <v>60.999999999999943</v>
      </c>
      <c r="V67" s="238">
        <f t="shared" si="47"/>
        <v>97.999999999999972</v>
      </c>
      <c r="W67" s="16"/>
      <c r="X67" s="16"/>
      <c r="Y67" s="16"/>
      <c r="Z67" s="16"/>
      <c r="AA67" s="612"/>
      <c r="AB67" s="612"/>
      <c r="AC67" s="136"/>
      <c r="AD67" s="18"/>
      <c r="AE67" s="14">
        <f t="shared" si="43"/>
        <v>-99.183673469387031</v>
      </c>
      <c r="AF67" s="228">
        <f t="shared" si="9"/>
        <v>0.95867346938775544</v>
      </c>
      <c r="AG67" s="616"/>
    </row>
    <row r="68" spans="1:33" ht="16.5" customHeight="1">
      <c r="A68" s="615" t="s">
        <v>1133</v>
      </c>
      <c r="B68" s="27" t="s">
        <v>1124</v>
      </c>
      <c r="C68" s="609"/>
      <c r="D68" s="610"/>
      <c r="E68" s="236"/>
      <c r="F68" s="28"/>
      <c r="G68" s="12"/>
      <c r="H68" s="240"/>
      <c r="I68" s="21">
        <v>16.333333333333332</v>
      </c>
      <c r="J68" s="29">
        <v>2400</v>
      </c>
      <c r="K68" s="12">
        <f t="shared" si="1"/>
        <v>146.9387755102041</v>
      </c>
      <c r="L68" s="21">
        <v>16.333333333333332</v>
      </c>
      <c r="M68" s="13">
        <f>AVERAGE(M62:M67)</f>
        <v>2296.753880779183</v>
      </c>
      <c r="N68" s="12">
        <f t="shared" si="3"/>
        <v>140.61758453750102</v>
      </c>
      <c r="O68" s="14">
        <f t="shared" si="4"/>
        <v>0</v>
      </c>
      <c r="P68" s="15">
        <f t="shared" si="5"/>
        <v>-6.3211909727030786</v>
      </c>
      <c r="Q68" s="228">
        <f t="shared" si="6"/>
        <v>0.95698078365799299</v>
      </c>
      <c r="R68" s="616"/>
      <c r="S68" s="32"/>
      <c r="T68" s="32"/>
      <c r="U68" s="12"/>
      <c r="V68" s="238"/>
      <c r="W68" s="12"/>
      <c r="X68" s="12"/>
      <c r="Y68" s="22">
        <f>SUM(Y62:Y67)</f>
        <v>0</v>
      </c>
      <c r="Z68" s="22">
        <f>SUM(Z62:Z67)</f>
        <v>0</v>
      </c>
      <c r="AA68" s="611"/>
      <c r="AB68" s="611"/>
      <c r="AC68" s="22">
        <v>6</v>
      </c>
      <c r="AD68" s="22">
        <f>SUM(AD62:AD67)</f>
        <v>0</v>
      </c>
      <c r="AE68" s="14">
        <f t="shared" si="43"/>
        <v>-103.24611922081704</v>
      </c>
      <c r="AF68" s="228">
        <f t="shared" si="9"/>
        <v>0.95698078365799288</v>
      </c>
      <c r="AG68" s="616"/>
    </row>
    <row r="69" spans="1:33">
      <c r="D69" s="23"/>
      <c r="E69" s="23"/>
    </row>
  </sheetData>
  <mergeCells count="181"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68"/>
    <mergeCell ref="C62:D62"/>
    <mergeCell ref="R62:R68"/>
    <mergeCell ref="AA62:AB62"/>
    <mergeCell ref="AA67:AB67"/>
    <mergeCell ref="C68:D68"/>
    <mergeCell ref="AA68:AB68"/>
    <mergeCell ref="A57:A61"/>
    <mergeCell ref="C57:D57"/>
    <mergeCell ref="R57:R61"/>
    <mergeCell ref="AA57:AB57"/>
    <mergeCell ref="AG57:AG61"/>
    <mergeCell ref="C58:D58"/>
    <mergeCell ref="AA58:AB58"/>
    <mergeCell ref="C59:D59"/>
    <mergeCell ref="AA59:AB59"/>
    <mergeCell ref="C60:D60"/>
    <mergeCell ref="AG49:AG56"/>
    <mergeCell ref="C50:D50"/>
    <mergeCell ref="AA50:AB50"/>
    <mergeCell ref="C51:D51"/>
    <mergeCell ref="AA51:AB51"/>
    <mergeCell ref="AA52:AB52"/>
    <mergeCell ref="AA53:AB53"/>
    <mergeCell ref="C54:D54"/>
    <mergeCell ref="AA54:AB54"/>
    <mergeCell ref="C55:D55"/>
    <mergeCell ref="AA60:AB60"/>
    <mergeCell ref="C61:D61"/>
    <mergeCell ref="AA61:AB61"/>
    <mergeCell ref="A49:A56"/>
    <mergeCell ref="C49:D49"/>
    <mergeCell ref="R49:R56"/>
    <mergeCell ref="AA49:AB49"/>
    <mergeCell ref="AA55:AB55"/>
    <mergeCell ref="C56:D56"/>
    <mergeCell ref="AA56:AB56"/>
    <mergeCell ref="A44:A48"/>
    <mergeCell ref="C44:D44"/>
    <mergeCell ref="R44:R48"/>
    <mergeCell ref="AA44:AB44"/>
    <mergeCell ref="AG44:AG48"/>
    <mergeCell ref="C45:D45"/>
    <mergeCell ref="AA45:AB45"/>
    <mergeCell ref="C46:D46"/>
    <mergeCell ref="AA46:AB46"/>
    <mergeCell ref="C47:D47"/>
    <mergeCell ref="AA40:AB40"/>
    <mergeCell ref="C41:D41"/>
    <mergeCell ref="AA41:AB41"/>
    <mergeCell ref="C42:D42"/>
    <mergeCell ref="AA42:AB42"/>
    <mergeCell ref="C43:D43"/>
    <mergeCell ref="AA43:AB43"/>
    <mergeCell ref="AA47:AB47"/>
    <mergeCell ref="C48:D48"/>
    <mergeCell ref="AA48:AB48"/>
    <mergeCell ref="AG30:AG36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A37:A43"/>
    <mergeCell ref="C37:D37"/>
    <mergeCell ref="R37:R43"/>
    <mergeCell ref="AA37:AB37"/>
    <mergeCell ref="AG37:AG43"/>
    <mergeCell ref="C38:D38"/>
    <mergeCell ref="AA38:AB38"/>
    <mergeCell ref="C39:D39"/>
    <mergeCell ref="AA39:AB39"/>
    <mergeCell ref="C40:D40"/>
    <mergeCell ref="AG24:AG29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30:A36"/>
    <mergeCell ref="C30:D30"/>
    <mergeCell ref="R30:R36"/>
    <mergeCell ref="AA30:AB30"/>
    <mergeCell ref="AG14:AG23"/>
    <mergeCell ref="C15:D15"/>
    <mergeCell ref="AA15:AB15"/>
    <mergeCell ref="C16:D16"/>
    <mergeCell ref="AA16:AB16"/>
    <mergeCell ref="C17:D17"/>
    <mergeCell ref="AA17:AB17"/>
    <mergeCell ref="C18:D18"/>
    <mergeCell ref="AA18:AB18"/>
    <mergeCell ref="C23:D23"/>
    <mergeCell ref="AA23:AB23"/>
    <mergeCell ref="A24:A29"/>
    <mergeCell ref="C24:D24"/>
    <mergeCell ref="R24:R29"/>
    <mergeCell ref="AA24:AB24"/>
    <mergeCell ref="AA29:AB29"/>
    <mergeCell ref="A14:A23"/>
    <mergeCell ref="C14:D14"/>
    <mergeCell ref="R14:R23"/>
    <mergeCell ref="AA14:AB14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</mergeCells>
  <phoneticPr fontId="3" type="noConversion"/>
  <conditionalFormatting sqref="O56:O57 O60:O68 O5:O8 O13:O15 O23:O54">
    <cfRule type="cellIs" dxfId="715" priority="52" operator="greaterThan">
      <formula>0</formula>
    </cfRule>
  </conditionalFormatting>
  <conditionalFormatting sqref="P5:P6 P60 AE60 P62:P67 P30:P35 P57 P8 P13:P15 P24:P28 P49:P54 P37:P47 AE5:AE57 AE62:AE68">
    <cfRule type="cellIs" dxfId="714" priority="56" operator="lessThan">
      <formula>0</formula>
    </cfRule>
  </conditionalFormatting>
  <conditionalFormatting sqref="AF60 Q56:Q57 Q60:Q68 Q5:Q8 Q13:Q15 Q23:Q54 AF5:AF57 AF62:AF68">
    <cfRule type="cellIs" dxfId="713" priority="53" operator="greaterThan">
      <formula>1</formula>
    </cfRule>
    <cfRule type="cellIs" dxfId="712" priority="54" operator="lessThan">
      <formula>0.8</formula>
    </cfRule>
  </conditionalFormatting>
  <conditionalFormatting sqref="AG14:AG15 R14:R15 AG60 AG56:AG57 R56:R57 R60:R68 AG5:AG8 R5:R8 AG23:AG54 R23:R54">
    <cfRule type="cellIs" dxfId="711" priority="58" operator="lessThan">
      <formula>0.8</formula>
    </cfRule>
  </conditionalFormatting>
  <conditionalFormatting sqref="AG44">
    <cfRule type="cellIs" dxfId="710" priority="60" operator="lessThan">
      <formula>0.8</formula>
    </cfRule>
  </conditionalFormatting>
  <conditionalFormatting sqref="AG24:AG28">
    <cfRule type="cellIs" dxfId="709" priority="57" operator="lessThan">
      <formula>0.8</formula>
    </cfRule>
  </conditionalFormatting>
  <conditionalFormatting sqref="AG30">
    <cfRule type="cellIs" dxfId="708" priority="59" operator="lessThan">
      <formula>0.8</formula>
    </cfRule>
  </conditionalFormatting>
  <conditionalFormatting sqref="AG37:AG42">
    <cfRule type="cellIs" dxfId="707" priority="55" operator="lessThan">
      <formula>0.8</formula>
    </cfRule>
  </conditionalFormatting>
  <conditionalFormatting sqref="AE61">
    <cfRule type="cellIs" dxfId="706" priority="51" operator="lessThan">
      <formula>0</formula>
    </cfRule>
  </conditionalFormatting>
  <conditionalFormatting sqref="AF61">
    <cfRule type="cellIs" dxfId="705" priority="49" operator="greaterThan">
      <formula>1</formula>
    </cfRule>
    <cfRule type="cellIs" dxfId="704" priority="50" operator="lessThan">
      <formula>0.8</formula>
    </cfRule>
  </conditionalFormatting>
  <conditionalFormatting sqref="O16:O17">
    <cfRule type="cellIs" dxfId="703" priority="44" operator="greaterThan">
      <formula>0</formula>
    </cfRule>
  </conditionalFormatting>
  <conditionalFormatting sqref="P16:P17">
    <cfRule type="cellIs" dxfId="702" priority="47" operator="lessThan">
      <formula>0</formula>
    </cfRule>
  </conditionalFormatting>
  <conditionalFormatting sqref="Q16:Q17">
    <cfRule type="cellIs" dxfId="701" priority="45" operator="greaterThan">
      <formula>1</formula>
    </cfRule>
    <cfRule type="cellIs" dxfId="700" priority="46" operator="lessThan">
      <formula>0.8</formula>
    </cfRule>
  </conditionalFormatting>
  <conditionalFormatting sqref="R16:R17 AG16:AG17">
    <cfRule type="cellIs" dxfId="699" priority="48" operator="lessThan">
      <formula>0.8</formula>
    </cfRule>
  </conditionalFormatting>
  <conditionalFormatting sqref="O9:O12">
    <cfRule type="cellIs" dxfId="698" priority="40" operator="greaterThan">
      <formula>0</formula>
    </cfRule>
  </conditionalFormatting>
  <conditionalFormatting sqref="P9:P12">
    <cfRule type="cellIs" dxfId="697" priority="43" operator="lessThan">
      <formula>0</formula>
    </cfRule>
  </conditionalFormatting>
  <conditionalFormatting sqref="Q9:Q12">
    <cfRule type="cellIs" dxfId="696" priority="41" operator="greaterThan">
      <formula>1</formula>
    </cfRule>
    <cfRule type="cellIs" dxfId="695" priority="42" operator="lessThan">
      <formula>0.8</formula>
    </cfRule>
  </conditionalFormatting>
  <conditionalFormatting sqref="O55">
    <cfRule type="cellIs" dxfId="694" priority="35" operator="greaterThan">
      <formula>0</formula>
    </cfRule>
  </conditionalFormatting>
  <conditionalFormatting sqref="P55">
    <cfRule type="cellIs" dxfId="693" priority="38" operator="lessThan">
      <formula>0</formula>
    </cfRule>
  </conditionalFormatting>
  <conditionalFormatting sqref="Q55">
    <cfRule type="cellIs" dxfId="692" priority="36" operator="greaterThan">
      <formula>1</formula>
    </cfRule>
    <cfRule type="cellIs" dxfId="691" priority="37" operator="lessThan">
      <formula>0.8</formula>
    </cfRule>
  </conditionalFormatting>
  <conditionalFormatting sqref="R55 AG55">
    <cfRule type="cellIs" dxfId="690" priority="39" operator="lessThan">
      <formula>0.8</formula>
    </cfRule>
  </conditionalFormatting>
  <conditionalFormatting sqref="O59">
    <cfRule type="cellIs" dxfId="689" priority="30" operator="greaterThan">
      <formula>0</formula>
    </cfRule>
  </conditionalFormatting>
  <conditionalFormatting sqref="P59 AE59">
    <cfRule type="cellIs" dxfId="688" priority="33" operator="lessThan">
      <formula>0</formula>
    </cfRule>
  </conditionalFormatting>
  <conditionalFormatting sqref="Q59 AF59">
    <cfRule type="cellIs" dxfId="687" priority="31" operator="greaterThan">
      <formula>1</formula>
    </cfRule>
    <cfRule type="cellIs" dxfId="686" priority="32" operator="lessThan">
      <formula>0.8</formula>
    </cfRule>
  </conditionalFormatting>
  <conditionalFormatting sqref="R59 AG59">
    <cfRule type="cellIs" dxfId="685" priority="34" operator="lessThan">
      <formula>0.8</formula>
    </cfRule>
  </conditionalFormatting>
  <conditionalFormatting sqref="O18:O19">
    <cfRule type="cellIs" dxfId="684" priority="25" operator="greaterThan">
      <formula>0</formula>
    </cfRule>
  </conditionalFormatting>
  <conditionalFormatting sqref="P18:P19">
    <cfRule type="cellIs" dxfId="683" priority="28" operator="lessThan">
      <formula>0</formula>
    </cfRule>
  </conditionalFormatting>
  <conditionalFormatting sqref="Q18:Q19">
    <cfRule type="cellIs" dxfId="682" priority="26" operator="greaterThan">
      <formula>1</formula>
    </cfRule>
    <cfRule type="cellIs" dxfId="681" priority="27" operator="lessThan">
      <formula>0.8</formula>
    </cfRule>
  </conditionalFormatting>
  <conditionalFormatting sqref="R18:R19 AG18:AG19">
    <cfRule type="cellIs" dxfId="680" priority="29" operator="lessThan">
      <formula>0.8</formula>
    </cfRule>
  </conditionalFormatting>
  <conditionalFormatting sqref="O58">
    <cfRule type="cellIs" dxfId="679" priority="20" operator="greaterThan">
      <formula>0</formula>
    </cfRule>
  </conditionalFormatting>
  <conditionalFormatting sqref="P58 AE58">
    <cfRule type="cellIs" dxfId="678" priority="23" operator="lessThan">
      <formula>0</formula>
    </cfRule>
  </conditionalFormatting>
  <conditionalFormatting sqref="Q58 AF58">
    <cfRule type="cellIs" dxfId="677" priority="21" operator="greaterThan">
      <formula>1</formula>
    </cfRule>
    <cfRule type="cellIs" dxfId="676" priority="22" operator="lessThan">
      <formula>0.8</formula>
    </cfRule>
  </conditionalFormatting>
  <conditionalFormatting sqref="R58 AG58">
    <cfRule type="cellIs" dxfId="675" priority="24" operator="lessThan">
      <formula>0.8</formula>
    </cfRule>
  </conditionalFormatting>
  <conditionalFormatting sqref="O20">
    <cfRule type="cellIs" dxfId="674" priority="15" operator="greaterThan">
      <formula>0</formula>
    </cfRule>
  </conditionalFormatting>
  <conditionalFormatting sqref="P20">
    <cfRule type="cellIs" dxfId="673" priority="18" operator="lessThan">
      <formula>0</formula>
    </cfRule>
  </conditionalFormatting>
  <conditionalFormatting sqref="Q20">
    <cfRule type="cellIs" dxfId="672" priority="16" operator="greaterThan">
      <formula>1</formula>
    </cfRule>
    <cfRule type="cellIs" dxfId="671" priority="17" operator="lessThan">
      <formula>0.8</formula>
    </cfRule>
  </conditionalFormatting>
  <conditionalFormatting sqref="AG20 R20">
    <cfRule type="cellIs" dxfId="670" priority="19" operator="lessThan">
      <formula>0.8</formula>
    </cfRule>
  </conditionalFormatting>
  <conditionalFormatting sqref="O21:O22">
    <cfRule type="cellIs" dxfId="669" priority="10" operator="greaterThan">
      <formula>0</formula>
    </cfRule>
  </conditionalFormatting>
  <conditionalFormatting sqref="P21:P22">
    <cfRule type="cellIs" dxfId="668" priority="13" operator="lessThan">
      <formula>0</formula>
    </cfRule>
  </conditionalFormatting>
  <conditionalFormatting sqref="Q21:Q22">
    <cfRule type="cellIs" dxfId="667" priority="11" operator="greaterThan">
      <formula>1</formula>
    </cfRule>
    <cfRule type="cellIs" dxfId="666" priority="12" operator="lessThan">
      <formula>0.8</formula>
    </cfRule>
  </conditionalFormatting>
  <conditionalFormatting sqref="AG21 R21">
    <cfRule type="cellIs" dxfId="665" priority="14" operator="lessThan">
      <formula>0.8</formula>
    </cfRule>
  </conditionalFormatting>
  <conditionalFormatting sqref="P7">
    <cfRule type="cellIs" dxfId="664" priority="9" operator="lessThan">
      <formula>0</formula>
    </cfRule>
  </conditionalFormatting>
  <conditionalFormatting sqref="P23">
    <cfRule type="cellIs" dxfId="663" priority="8" operator="lessThan">
      <formula>0</formula>
    </cfRule>
  </conditionalFormatting>
  <conditionalFormatting sqref="P29">
    <cfRule type="cellIs" dxfId="662" priority="7" operator="lessThan">
      <formula>0</formula>
    </cfRule>
  </conditionalFormatting>
  <conditionalFormatting sqref="P36">
    <cfRule type="cellIs" dxfId="661" priority="6" operator="lessThan">
      <formula>0</formula>
    </cfRule>
  </conditionalFormatting>
  <conditionalFormatting sqref="P48">
    <cfRule type="cellIs" dxfId="660" priority="5" operator="lessThan">
      <formula>0</formula>
    </cfRule>
  </conditionalFormatting>
  <conditionalFormatting sqref="P56">
    <cfRule type="cellIs" dxfId="659" priority="4" operator="lessThan">
      <formula>0</formula>
    </cfRule>
  </conditionalFormatting>
  <conditionalFormatting sqref="P61">
    <cfRule type="cellIs" dxfId="658" priority="3" operator="lessThan">
      <formula>0</formula>
    </cfRule>
  </conditionalFormatting>
  <conditionalFormatting sqref="P68">
    <cfRule type="cellIs" dxfId="657" priority="2" operator="lessThan">
      <formula>0</formula>
    </cfRule>
  </conditionalFormatting>
  <conditionalFormatting sqref="AG22 R22">
    <cfRule type="cellIs" dxfId="656" priority="1" operator="lessThan">
      <formula>0.8</formula>
    </cfRule>
  </conditionalFormatting>
  <dataValidations count="1">
    <dataValidation type="list" allowBlank="1" showInputMessage="1" showErrorMessage="1" sqref="AB7 AA5:AB6 AA7:AA60 AB9:AB57 AA61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L18" sqref="L1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951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952</v>
      </c>
      <c r="C3" s="594" t="str">
        <f>TEXT('0710 4度C'!A2,"yyyy.mm.ddaaaa")</f>
        <v>2026.07.10星期五</v>
      </c>
      <c r="D3" s="595"/>
      <c r="E3" s="36" t="s">
        <v>953</v>
      </c>
      <c r="F3" s="596">
        <f>'0710 4度C'!D1</f>
        <v>139554</v>
      </c>
      <c r="G3" s="597"/>
      <c r="H3" s="36" t="s">
        <v>954</v>
      </c>
      <c r="I3" s="598">
        <f>'0710 4度C'!F1</f>
        <v>4782772.51</v>
      </c>
      <c r="J3" s="599"/>
      <c r="K3" s="37"/>
      <c r="L3" s="38"/>
      <c r="M3" s="39"/>
      <c r="N3" s="39"/>
    </row>
    <row r="4" spans="2:17" ht="28.5" customHeight="1">
      <c r="B4" s="600" t="s">
        <v>955</v>
      </c>
      <c r="C4" s="586" t="s">
        <v>956</v>
      </c>
      <c r="D4" s="587"/>
      <c r="E4" s="603" t="s">
        <v>957</v>
      </c>
      <c r="F4" s="604"/>
      <c r="G4" s="603" t="s">
        <v>958</v>
      </c>
      <c r="H4" s="604"/>
      <c r="I4" s="603" t="s">
        <v>959</v>
      </c>
      <c r="J4" s="604"/>
      <c r="K4" s="584" t="s">
        <v>960</v>
      </c>
      <c r="L4" s="585"/>
      <c r="M4" s="585" t="s">
        <v>961</v>
      </c>
      <c r="N4" s="585"/>
    </row>
    <row r="5" spans="2:17" ht="28.5" customHeight="1">
      <c r="B5" s="601"/>
      <c r="C5" s="586" t="s">
        <v>962</v>
      </c>
      <c r="D5" s="587"/>
      <c r="E5" s="586" t="s">
        <v>963</v>
      </c>
      <c r="F5" s="587"/>
      <c r="G5" s="588" t="s">
        <v>964</v>
      </c>
      <c r="H5" s="589"/>
      <c r="I5" s="590" t="s">
        <v>965</v>
      </c>
      <c r="J5" s="591"/>
      <c r="K5" s="40" t="s">
        <v>966</v>
      </c>
      <c r="L5" s="41" t="s">
        <v>967</v>
      </c>
      <c r="M5" s="40" t="s">
        <v>966</v>
      </c>
      <c r="N5" s="41" t="s">
        <v>968</v>
      </c>
    </row>
    <row r="6" spans="2:17" ht="28.5" customHeight="1">
      <c r="B6" s="601"/>
      <c r="C6" s="586" t="s">
        <v>41</v>
      </c>
      <c r="D6" s="587"/>
      <c r="E6" s="578">
        <f>AVERAGE(D13:M13)</f>
        <v>157.65659031197438</v>
      </c>
      <c r="F6" s="579">
        <f>AVERAGE(D31:O31,D13:J13)</f>
        <v>166.90445427320819</v>
      </c>
      <c r="G6" s="580">
        <f>AVERAGE(D13:J13)</f>
        <v>166.90445427320819</v>
      </c>
      <c r="H6" s="581"/>
      <c r="I6" s="580">
        <f>AVERAGE(K13:M13)</f>
        <v>136.07824106909553</v>
      </c>
      <c r="J6" s="581"/>
      <c r="K6" s="582">
        <f>'0710 4度C'!Y2</f>
        <v>0</v>
      </c>
      <c r="L6" s="567">
        <f>'0710 4度C'!Z2</f>
        <v>0</v>
      </c>
      <c r="M6" s="583">
        <f>'0710 4度C'!AC2</f>
        <v>49</v>
      </c>
      <c r="N6" s="567">
        <f>'0710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150.84483023248043</v>
      </c>
      <c r="F7" s="571">
        <f>AVERAGE(D32:O32,D14:J14)</f>
        <v>159.78759147310231</v>
      </c>
      <c r="G7" s="572">
        <f>AVERAGE(D14:J14)</f>
        <v>159.78759147310231</v>
      </c>
      <c r="H7" s="573"/>
      <c r="I7" s="572">
        <f>AVERAGE(K14:M14)</f>
        <v>129.97838733769609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0.95709422800544508</v>
      </c>
      <c r="F8" s="575">
        <f>AVERAGE(D15:J15,D33:O33)</f>
        <v>0.95791936498853814</v>
      </c>
      <c r="G8" s="576">
        <f>AVERAGE(D15:J15)</f>
        <v>0.95791936498853814</v>
      </c>
      <c r="H8" s="577"/>
      <c r="I8" s="576">
        <f>AVERAGE(K15:M15)</f>
        <v>0.95516890837822777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969</v>
      </c>
      <c r="N9" s="39"/>
      <c r="O9" s="39"/>
      <c r="P9" s="39"/>
      <c r="Q9" s="39"/>
    </row>
    <row r="10" spans="2:17" ht="30" customHeight="1">
      <c r="B10" s="550" t="s">
        <v>970</v>
      </c>
      <c r="C10" s="551"/>
      <c r="D10" s="552" t="s">
        <v>971</v>
      </c>
      <c r="E10" s="553"/>
      <c r="F10" s="553"/>
      <c r="G10" s="553"/>
      <c r="H10" s="553"/>
      <c r="I10" s="553"/>
      <c r="J10" s="554"/>
      <c r="K10" s="555" t="s">
        <v>972</v>
      </c>
      <c r="L10" s="556"/>
      <c r="M10" s="557"/>
      <c r="P10" s="45"/>
      <c r="Q10" s="45"/>
    </row>
    <row r="11" spans="2:17" ht="17.25" customHeight="1">
      <c r="B11" s="558" t="s">
        <v>973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974</v>
      </c>
      <c r="C13" s="52" t="s">
        <v>975</v>
      </c>
      <c r="D13" s="53">
        <f>SUMIFS('0710 4度C'!$K:$K,'0710 4度C'!$A:$A,"新豐6線",'0710 4度C'!$B:$B,"平均")</f>
        <v>129.03225806451613</v>
      </c>
      <c r="E13" s="54">
        <f>SUMIFS('0710 4度C'!$K:$K,'0710 4度C'!$A:$A,"新豐2線",'0710 4度C'!$B:$B,"平均")</f>
        <v>88.235294117647058</v>
      </c>
      <c r="F13" s="55">
        <f>SUMIFS('0710 4度C'!$K:$K,'0710 4度C'!$A:$A,"新豐5線",'0710 4度C'!$B:$B,"平均")</f>
        <v>95.679012345679013</v>
      </c>
      <c r="G13" s="55">
        <f>SUMIFS('0710 4度C'!$K:$K,'0710 4度C'!$A:$A,"新豐7線",'0710 4度C'!$B:$B,"平均")</f>
        <v>119.99999999999999</v>
      </c>
      <c r="H13" s="55">
        <f>SUMIFS('0710 4度C'!$K:$K,'0710 4度C'!$A:$A,"新豐3線",'0710 4度C'!$B:$B,"平均")</f>
        <v>307.69230769230768</v>
      </c>
      <c r="I13" s="55">
        <f>SUMIFS('0710 4度C'!$K:$K,'0710 4度C'!$A:$A,"新豐1線",'0710 4度C'!$B:$B,"平均")</f>
        <v>119.99999999999999</v>
      </c>
      <c r="J13" s="56">
        <f>SUMIFS('0710 4度C'!$K:$K,'0710 4度C'!$A:$A,"新豐10線",'0710 4度C'!$B:$B,"平均")</f>
        <v>307.69230769230768</v>
      </c>
      <c r="K13" s="57">
        <f>SUMIFS('0710 4度C'!$K:$K,'0710 4度C'!$A:$A,"新豐8線",'0710 4度C'!$B:$B,"平均")</f>
        <v>139.53488372093022</v>
      </c>
      <c r="L13" s="58">
        <f>SUMIFS('0710 4度C'!$K:$K,'0710 4度C'!$A:$A,"新豐9線",'0710 4度C'!$B:$B,"平均")</f>
        <v>125.84269662921348</v>
      </c>
      <c r="M13" s="56">
        <f>SUMIFS('0710 4度C'!$K:$K,'0710 4度C'!$A:$A,"新豐4線",'0710 4度C'!$B:$B,"平均")</f>
        <v>142.85714285714286</v>
      </c>
    </row>
    <row r="14" spans="2:17" ht="39.6" customHeight="1">
      <c r="B14" s="563"/>
      <c r="C14" s="59" t="s">
        <v>976</v>
      </c>
      <c r="D14" s="60">
        <f>SUMIFS('0710 4度C'!$N:$N,'0710 4度C'!$A:$A,"新豐6線",'0710 4度C'!$B:$B,"平均")</f>
        <v>123.63851756983924</v>
      </c>
      <c r="E14" s="61">
        <f>SUMIFS('0710 4度C'!$N:$N,'0710 4度C'!$A:$A,"新豐2線",'0710 4度C'!$B:$B,"平均")</f>
        <v>84.288449817131323</v>
      </c>
      <c r="F14" s="61">
        <f>SUMIFS('0710 4度C'!$N:$N,'0710 4度C'!$A:$A,"新豐5線",'0710 4度C'!$B:$B,"平均")</f>
        <v>91.496945308847955</v>
      </c>
      <c r="G14" s="61">
        <f>SUMIFS('0710 4度C'!$N:$N,'0710 4度C'!$A:$A,"新豐7線",'0710 4度C'!$B:$B,"平均")</f>
        <v>115.04220074043602</v>
      </c>
      <c r="H14" s="61">
        <f>SUMIFS('0710 4度C'!$N:$N,'0710 4度C'!$A:$A,"新豐3線",'0710 4度C'!$B:$B,"平均")</f>
        <v>294.17367011387654</v>
      </c>
      <c r="I14" s="61">
        <f>SUMIFS('0710 4度C'!$N:$N,'0710 4度C'!$A:$A,"新豐1線",'0710 4度C'!$B:$B,"平均")</f>
        <v>115.83726848159449</v>
      </c>
      <c r="J14" s="62">
        <f>SUMIFS('0710 4度C'!$N:$N,'0710 4度C'!$A:$A,"新豐10線",'0710 4度C'!$B:$B,"平均")</f>
        <v>294.03608827999062</v>
      </c>
      <c r="K14" s="63">
        <f>SUMIFS('0710 4度C'!$N:$N,'0710 4度C'!$A:$A,"新豐8線",'0710 4度C'!$B:$B,"平均")</f>
        <v>133.30541019497883</v>
      </c>
      <c r="L14" s="64">
        <f>SUMIFS('0710 4度C'!$N:$N,'0710 4度C'!$A:$A,"新豐9線",'0710 4度C'!$B:$B,"平均")</f>
        <v>120.18130697972067</v>
      </c>
      <c r="M14" s="62">
        <f>SUMIFS('0710 4度C'!$N:$N,'0710 4度C'!$A:$A,"新豐4線",'0710 4度C'!$B:$B,"平均")</f>
        <v>136.44844483838875</v>
      </c>
    </row>
    <row r="15" spans="2:17" ht="40.15" customHeight="1">
      <c r="B15" s="564"/>
      <c r="C15" s="65" t="s">
        <v>110</v>
      </c>
      <c r="D15" s="66">
        <f t="shared" ref="D15:M15" si="0">D14/D13</f>
        <v>0.9581985111662541</v>
      </c>
      <c r="E15" s="67">
        <f t="shared" si="0"/>
        <v>0.95526909792748838</v>
      </c>
      <c r="F15" s="67">
        <f t="shared" si="0"/>
        <v>0.95629065419570125</v>
      </c>
      <c r="G15" s="67">
        <f t="shared" si="0"/>
        <v>0.95868500617030028</v>
      </c>
      <c r="H15" s="67">
        <f t="shared" si="0"/>
        <v>0.95606442787009882</v>
      </c>
      <c r="I15" s="67">
        <f t="shared" si="0"/>
        <v>0.96531057067995418</v>
      </c>
      <c r="J15" s="68">
        <f t="shared" si="0"/>
        <v>0.95561728690996961</v>
      </c>
      <c r="K15" s="66">
        <f t="shared" si="0"/>
        <v>0.95535543973068171</v>
      </c>
      <c r="L15" s="67">
        <f t="shared" si="0"/>
        <v>0.9550121715352804</v>
      </c>
      <c r="M15" s="68">
        <f t="shared" si="0"/>
        <v>0.95513911386872119</v>
      </c>
    </row>
    <row r="16" spans="2:17" ht="17.25" customHeight="1">
      <c r="B16" s="565" t="s">
        <v>111</v>
      </c>
      <c r="C16" s="69" t="s">
        <v>977</v>
      </c>
      <c r="D16" s="70">
        <f>VLOOKUP("新豐6線",'0710 4度C'!$A:$T,19,0)</f>
        <v>0.70833333333333337</v>
      </c>
      <c r="E16" s="71">
        <f>VLOOKUP("新豐2線",'0710 4度C'!$A:$T,19,0)</f>
        <v>8.3333333333333329E-2</v>
      </c>
      <c r="F16" s="71">
        <f>VLOOKUP("新豐5線",'0710 4度C'!$A:$T,19,0)</f>
        <v>8.3333333333333329E-2</v>
      </c>
      <c r="G16" s="71">
        <f>VLOOKUP("新豐7線",'0710 4度C'!$A:$T,19,0)</f>
        <v>0.20833333333333334</v>
      </c>
      <c r="H16" s="71">
        <f>VLOOKUP("新豐3線",'0710 4度C'!$A:$T,19,0)</f>
        <v>0.20833333333333334</v>
      </c>
      <c r="I16" s="71">
        <f>VLOOKUP("新豐1線",'0710 4度C'!$A:$T,19,0)</f>
        <v>0.20833333333333334</v>
      </c>
      <c r="J16" s="72">
        <f>VLOOKUP("新豐10線",'0710 4度C'!$A:$T,19,0)</f>
        <v>0.20833333333333334</v>
      </c>
      <c r="K16" s="73">
        <f>VLOOKUP("新豐8線",'0710 4度C'!$A:$T,19,0)</f>
        <v>8.3333333333333329E-2</v>
      </c>
      <c r="L16" s="74">
        <f>VLOOKUP("新豐9線",'0710 4度C'!$A:$T,19,0)</f>
        <v>8.3333333333333329E-2</v>
      </c>
      <c r="M16" s="75">
        <f>VLOOKUP("新豐4線",'0710 4度C'!$A:$T,19,0)</f>
        <v>8.3333333333333329E-2</v>
      </c>
    </row>
    <row r="17" spans="2:13" ht="17.25" customHeight="1">
      <c r="B17" s="566"/>
      <c r="C17" s="69" t="s">
        <v>978</v>
      </c>
      <c r="D17" s="73">
        <f>LOOKUP(2,1/(('0710 4度C'!$A:$A="新豐6線")*('0710 4度C'!$T:$T&lt;&gt;"")),'0710 4度C'!$T:$T)</f>
        <v>0.79999999999999993</v>
      </c>
      <c r="E17" s="71">
        <f>LOOKUP(2,1/(('0710 4度C'!$A:$A="新豐2線")*('0710 4度C'!$T:$T&lt;&gt;"")),'0710 4度C'!$T:$T)</f>
        <v>0.47638888888888886</v>
      </c>
      <c r="F17" s="71">
        <f>LOOKUP(2,1/(('0710 4度C'!$A:$A="新豐5線")*('0710 4度C'!$T:$T&lt;&gt;"")),'0710 4度C'!$T:$T)</f>
        <v>0.8208333333333333</v>
      </c>
      <c r="G17" s="71">
        <f>LOOKUP(2,1/(('0710 4度C'!$A:$A="新豐7線")*('0710 4度C'!$T:$T&lt;&gt;"")),'0710 4度C'!$T:$T)</f>
        <v>0.80763888888888891</v>
      </c>
      <c r="H17" s="71">
        <f>LOOKUP(2,1/(('0710 4度C'!$A:$A="新豐3線")*('0710 4度C'!$T:$T&lt;&gt;"")),'0710 4度C'!$T:$T)</f>
        <v>0.39791666666666664</v>
      </c>
      <c r="I17" s="71">
        <f>LOOKUP(2,1/(('0710 4度C'!$A:$A="新豐1線")*('0710 4度C'!$T:$T&lt;&gt;"")),'0710 4度C'!$T:$T)</f>
        <v>0.76597222222222228</v>
      </c>
      <c r="J17" s="72">
        <f>LOOKUP(2,1/(('0710 4度C'!$A:$A="新豐10線")*('0710 4度C'!$T:$T&lt;&gt;"")),'0710 4度C'!$T:$T)</f>
        <v>0.35694444444444445</v>
      </c>
      <c r="K17" s="70">
        <f>LOOKUP(2,1/(('0710 4度C'!$A:$A="新豐8線")*('0710 4度C'!$T:$T&lt;&gt;"")),'0710 4度C'!$T:$T)</f>
        <v>0.51944444444444438</v>
      </c>
      <c r="L17" s="71">
        <f>LOOKUP(2,1/(('0710 4度C'!$A:$A="新豐9線")*('0710 4度C'!$T:$T&lt;&gt;"")),'0710 4度C'!$T:$T)</f>
        <v>0.51180555555555551</v>
      </c>
      <c r="M17" s="72">
        <f>LOOKUP(2,1/(('0710 4度C'!$A:$A="新豐4線")*('0710 4度C'!$T:$T&lt;&gt;"")),'0710 4度C'!$T:$T)</f>
        <v>0.5</v>
      </c>
    </row>
    <row r="18" spans="2:13" ht="17.25" customHeight="1">
      <c r="B18" s="544" t="s">
        <v>979</v>
      </c>
      <c r="C18" s="76" t="s">
        <v>980</v>
      </c>
      <c r="D18" s="77">
        <f>SUMIFS('0710 4度C'!$Y:$Y,'0710 4度C'!$A:$A,"新豐6線",'0710 4度C'!$B:$B,"平均")</f>
        <v>0</v>
      </c>
      <c r="E18" s="78">
        <f>SUMIFS('0710 4度C'!$Y:$Y,'0710 4度C'!$A:$A,"新豐2線",'0710 4度C'!$B:$B,"平均")</f>
        <v>0</v>
      </c>
      <c r="F18" s="78">
        <f>SUMIFS('0710 4度C'!$Y:$Y,'0710 4度C'!$A:$A,"新豐5線",'0710 4度C'!$B:$B,"平均")</f>
        <v>0</v>
      </c>
      <c r="G18" s="78">
        <f>SUMIFS('0710 4度C'!$Y:$Y,'0710 4度C'!$A:$A,"新豐7線",'0710 4度C'!$B:$B,"平均")</f>
        <v>0</v>
      </c>
      <c r="H18" s="78">
        <f>SUMIFS('0710 4度C'!$Y:$Y,'0710 4度C'!$A:$A,"新豐3線",'0710 4度C'!$B:$B,"平均")</f>
        <v>0</v>
      </c>
      <c r="I18" s="78">
        <f>SUMIFS('0710 4度C'!$Y:$Y,'0710 4度C'!$A:$A,"新豐1線",'0710 4度C'!$B:$B,"平均")</f>
        <v>0</v>
      </c>
      <c r="J18" s="79">
        <f>SUMIFS('0710 4度C'!$Y:$Y,'0710 4度C'!$A:$A,"新豐10線",'0710 4度C'!$B:$B,"平均")</f>
        <v>0</v>
      </c>
      <c r="K18" s="80">
        <f>SUMIFS('0710 4度C'!$Y:$Y,'0710 4度C'!$A:$A,"新豐8線",'0710 4度C'!$B:$B,"平均")</f>
        <v>0</v>
      </c>
      <c r="L18" s="78">
        <f>SUMIFS('0710 4度C'!$Y:$Y,'0710 4度C'!$A:$A,"新豐9線",'0710 4度C'!$B:$B,"平均")</f>
        <v>0</v>
      </c>
      <c r="M18" s="79">
        <f>SUMIFS('0710 4度C'!$Y:$Y,'0710 4度C'!$A:$A,"新豐4線",'0710 4度C'!$B:$B,"平均")</f>
        <v>0</v>
      </c>
    </row>
    <row r="19" spans="2:13" ht="17.25" customHeight="1">
      <c r="B19" s="545"/>
      <c r="C19" s="76" t="s">
        <v>981</v>
      </c>
      <c r="D19" s="77">
        <f>SUMIFS('0710 4度C'!$Z:$Z,'0710 4度C'!$A:$A,"新豐6線",'0710 4度C'!$B:$B,"平均")</f>
        <v>0</v>
      </c>
      <c r="E19" s="78">
        <f>SUMIFS('0710 4度C'!$Z:$Z,'0710 4度C'!$A:$A,"新豐2線",'0710 4度C'!$B:$B,"平均")</f>
        <v>0</v>
      </c>
      <c r="F19" s="78">
        <f>SUMIFS('0710 4度C'!$Z:$Z,'0710 4度C'!$A:$A,"新豐5線",'0710 4度C'!$B:$B,"平均")</f>
        <v>0</v>
      </c>
      <c r="G19" s="78">
        <f>SUMIFS('0710 4度C'!$Z:$Z,'0710 4度C'!$A:$A,"新豐7線",'0710 4度C'!$B:$B,"平均")</f>
        <v>0</v>
      </c>
      <c r="H19" s="78">
        <f>SUMIFS('0710 4度C'!$Z:$Z,'0710 4度C'!$A:$A,"新豐3線",'0710 4度C'!$B:$B,"平均")</f>
        <v>0</v>
      </c>
      <c r="I19" s="78">
        <f>SUMIFS('0710 4度C'!$Z:$Z,'0710 4度C'!$A:$A,"新豐1線",'0710 4度C'!$B:$B,"平均")</f>
        <v>0</v>
      </c>
      <c r="J19" s="79">
        <f>SUMIFS('0710 4度C'!$Z:$Z,'0710 4度C'!$A:$A,"新豐10線",'0710 4度C'!$B:$B,"平均")</f>
        <v>0</v>
      </c>
      <c r="K19" s="80">
        <f>SUMIFS('0710 4度C'!$Z:$Z,'0710 4度C'!$A:$A,"新豐8線",'0710 4度C'!$B:$B,"平均")</f>
        <v>0</v>
      </c>
      <c r="L19" s="78">
        <f>SUMIFS('0710 4度C'!$Z:$Z,'0710 4度C'!$A:$A,"新豐9線",'0710 4度C'!$B:$B,"平均")</f>
        <v>0</v>
      </c>
      <c r="M19" s="79">
        <f>SUMIFS('0710 4度C'!$Z:$Z,'0710 4度C'!$A:$A,"新豐4線",'0710 4度C'!$B:$B,"平均")</f>
        <v>0</v>
      </c>
    </row>
    <row r="20" spans="2:13" ht="17.25" customHeight="1">
      <c r="B20" s="544" t="s">
        <v>982</v>
      </c>
      <c r="C20" s="76" t="s">
        <v>980</v>
      </c>
      <c r="D20" s="77">
        <f>SUMIFS('0710 4度C'!$AC:$AC,'0710 4度C'!$A:$A,"新豐6線",'0710 4度C'!$B:$B,"平均")</f>
        <v>2</v>
      </c>
      <c r="E20" s="78">
        <f>SUMIFS('0710 4度C'!$AC:$AC,'0710 4度C'!$A:$A,"新豐2線",'0710 4度C'!$B:$B,"平均")</f>
        <v>3</v>
      </c>
      <c r="F20" s="78">
        <f>SUMIFS('0710 4度C'!$AC:$AC,'0710 4度C'!$A:$A,"新豐5線",'0710 4度C'!$B:$B,"平均")</f>
        <v>9</v>
      </c>
      <c r="G20" s="78">
        <f>SUMIFS('0710 4度C'!$AC:$AC,'0710 4度C'!$A:$A,"新豐7線",'0710 4度C'!$B:$B,"平均")</f>
        <v>6</v>
      </c>
      <c r="H20" s="78">
        <f>SUMIFS('0710 4度C'!$AC:$AC,'0710 4度C'!$A:$A,"新豐3線",'0710 4度C'!$B:$B,"平均")</f>
        <v>4</v>
      </c>
      <c r="I20" s="78">
        <f>SUMIFS('0710 4度C'!$AC:$AC,'0710 4度C'!$A:$A,"新豐1線",'0710 4度C'!$B:$B,"平均")</f>
        <v>6</v>
      </c>
      <c r="J20" s="79">
        <f>SUMIFS('0710 4度C'!$AC:$AC,'0710 4度C'!$A:$A,"新豐10線",'0710 4度C'!$B:$B,"平均")</f>
        <v>4</v>
      </c>
      <c r="K20" s="80">
        <f>SUMIFS('0710 4度C'!$AC:$AC,'0710 4度C'!$A:$A,"新豐8線",'0710 4度C'!$B:$B,"平均")</f>
        <v>5</v>
      </c>
      <c r="L20" s="78">
        <f>SUMIFS('0710 4度C'!$AC:$AC,'0710 4度C'!$A:$A,"新豐9線",'0710 4度C'!$B:$B,"平均")</f>
        <v>5</v>
      </c>
      <c r="M20" s="79">
        <f>SUMIFS('0710 4度C'!$AC:$AC,'0710 4度C'!$A:$A,"新豐4線",'0710 4度C'!$B:$B,"平均")</f>
        <v>5</v>
      </c>
    </row>
    <row r="21" spans="2:13" ht="17.25" customHeight="1">
      <c r="B21" s="545"/>
      <c r="C21" s="76" t="s">
        <v>983</v>
      </c>
      <c r="D21" s="77">
        <f>SUMIFS('0710 4度C'!$AD:$AD,'0710 4度C'!$A:$A,"新豐6線",'0710 4度C'!$B:$B,"平均")</f>
        <v>0</v>
      </c>
      <c r="E21" s="78">
        <f>SUMIFS('0710 4度C'!$AD:$AD,'0710 4度C'!$A:$A,"新豐2線",'0710 4度C'!$B:$B,"平均")</f>
        <v>0</v>
      </c>
      <c r="F21" s="78">
        <f>SUMIFS('0710 4度C'!$AD:$AD,'0710 4度C'!$A:$A,"新豐5線",'0710 4度C'!$B:$B,"平均")</f>
        <v>0</v>
      </c>
      <c r="G21" s="78">
        <f>SUMIFS('0710 4度C'!$AD:$AD,'0710 4度C'!$A:$A,"新豐7線",'0710 4度C'!$B:$B,"平均")</f>
        <v>0</v>
      </c>
      <c r="H21" s="78">
        <f>SUMIFS('0710 4度C'!$AD:$AD,'0710 4度C'!$A:$A,"新豐3線",'0710 4度C'!$B:$B,"平均")</f>
        <v>0</v>
      </c>
      <c r="I21" s="78">
        <f>SUMIFS('0710 4度C'!$AD:$AD,'0710 4度C'!$A:$A,"新豐1線",'0710 4度C'!$B:$B,"平均")</f>
        <v>0</v>
      </c>
      <c r="J21" s="79">
        <f>SUMIFS('0710 4度C'!$AD:$AD,'0710 4度C'!$A:$A,"新豐10線",'0710 4度C'!$B:$B,"平均")</f>
        <v>0</v>
      </c>
      <c r="K21" s="80">
        <f>SUMIFS('0710 4度C'!$AD:$AD,'0710 4度C'!$A:$A,"新豐8線",'0710 4度C'!$B:$B,"平均")</f>
        <v>0</v>
      </c>
      <c r="L21" s="78">
        <f>SUMIFS('0710 4度C'!$AD:$AD,'0710 4度C'!$A:$A,"新豐9線",'0710 4度C'!$B:$B,"平均")</f>
        <v>0</v>
      </c>
      <c r="M21" s="79">
        <f>SUMIFS('0710 4度C'!$AD:$AD,'0710 4度C'!$A:$A,"新豐4線",'0710 4度C'!$B:$B,"平均")</f>
        <v>0</v>
      </c>
    </row>
    <row r="22" spans="2:13" ht="17.25" customHeight="1">
      <c r="B22" s="546" t="s">
        <v>984</v>
      </c>
      <c r="C22" s="547"/>
      <c r="D22" s="81">
        <f>SUMIFS('0710 4度C'!$I:$I,'0710 4度C'!$A:$A,"新豐6線",'0710 4度C'!$B:$B,"平均")</f>
        <v>15.5</v>
      </c>
      <c r="E22" s="82">
        <f>SUMIFS('0710 4度C'!$I:$I,'0710 4度C'!$A:$A,"新豐2線",'0710 4度C'!$B:$B,"平均")</f>
        <v>17</v>
      </c>
      <c r="F22" s="82">
        <f>SUMIFS('0710 4度C'!$I:$I,'0710 4度C'!$A:$A,"新豐5線",'0710 4度C'!$B:$B,"平均")</f>
        <v>18</v>
      </c>
      <c r="G22" s="82">
        <f>SUMIFS('0710 4度C'!$I:$I,'0710 4度C'!$A:$A,"新豐7線",'0710 4度C'!$B:$B,"平均")</f>
        <v>16.666666666666668</v>
      </c>
      <c r="H22" s="82">
        <f>SUMIFS('0710 4度C'!$I:$I,'0710 4度C'!$A:$A,"新豐3線",'0710 4度C'!$B:$B,"平均")</f>
        <v>9.75</v>
      </c>
      <c r="I22" s="82">
        <f>SUMIFS('0710 4度C'!$I:$I,'0710 4度C'!$A:$A,"新豐1線",'0710 4度C'!$B:$B,"平均")</f>
        <v>16.666666666666668</v>
      </c>
      <c r="J22" s="83">
        <f>SUMIFS('0710 4度C'!$I:$I,'0710 4度C'!$A:$A,"新豐10線",'0710 4度C'!$B:$B,"平均")</f>
        <v>9.75</v>
      </c>
      <c r="K22" s="81">
        <f>SUMIFS('0710 4度C'!$I:$I,'0710 4度C'!$A:$A,"新豐8線",'0710 4度C'!$B:$B,"平均")</f>
        <v>17.2</v>
      </c>
      <c r="L22" s="82">
        <f>SUMIFS('0710 4度C'!$I:$I,'0710 4度C'!$A:$A,"新豐9線",'0710 4度C'!$B:$B,"平均")</f>
        <v>17.8</v>
      </c>
      <c r="M22" s="83">
        <f>SUMIFS('0710 4度C'!$I:$I,'0710 4度C'!$A:$A,"新豐4線",'0710 4度C'!$B:$B,"平均")</f>
        <v>16.8</v>
      </c>
    </row>
    <row r="23" spans="2:13" ht="17.25" customHeight="1">
      <c r="B23" s="546" t="s">
        <v>985</v>
      </c>
      <c r="C23" s="547"/>
      <c r="D23" s="84" t="s">
        <v>54</v>
      </c>
      <c r="E23" s="85" t="s">
        <v>55</v>
      </c>
      <c r="F23" s="85" t="s">
        <v>986</v>
      </c>
      <c r="G23" s="85" t="s">
        <v>986</v>
      </c>
      <c r="H23" s="85" t="s">
        <v>56</v>
      </c>
      <c r="I23" s="85" t="s">
        <v>54</v>
      </c>
      <c r="J23" s="86" t="s">
        <v>56</v>
      </c>
      <c r="K23" s="84" t="s">
        <v>987</v>
      </c>
      <c r="L23" s="85" t="s">
        <v>987</v>
      </c>
      <c r="M23" s="86" t="s">
        <v>987</v>
      </c>
    </row>
    <row r="24" spans="2:13" ht="17.25" customHeight="1">
      <c r="B24" s="546" t="s">
        <v>988</v>
      </c>
      <c r="C24" s="547"/>
      <c r="D24" s="84"/>
      <c r="E24" s="85"/>
      <c r="F24" s="85" t="s">
        <v>989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990</v>
      </c>
      <c r="C25" s="549"/>
      <c r="D25" s="87"/>
      <c r="E25" s="88" t="s">
        <v>991</v>
      </c>
      <c r="F25" s="542" t="s">
        <v>992</v>
      </c>
      <c r="G25" s="543"/>
      <c r="H25" s="88" t="s">
        <v>993</v>
      </c>
      <c r="I25" s="88" t="s">
        <v>419</v>
      </c>
      <c r="J25" s="89" t="s">
        <v>993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4"/>
  <sheetViews>
    <sheetView zoomScale="80" zoomScaleNormal="80" workbookViewId="0">
      <pane ySplit="4" topLeftCell="A12" activePane="bottomLeft" state="frozen"/>
      <selection activeCell="M32" sqref="M32"/>
      <selection pane="bottomLeft" activeCell="B12" sqref="B12:D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10.25" style="7" bestFit="1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994</v>
      </c>
      <c r="B1" s="1"/>
      <c r="C1" s="2" t="s">
        <v>995</v>
      </c>
      <c r="D1" s="3">
        <f>SUM(F5:F63)</f>
        <v>139554</v>
      </c>
      <c r="E1" s="216" t="s">
        <v>996</v>
      </c>
      <c r="F1" s="1">
        <f>SUM(G5:G63)</f>
        <v>4782772.51</v>
      </c>
      <c r="G1" s="1" t="s">
        <v>997</v>
      </c>
      <c r="H1" s="4">
        <f>L7+L11+L45+L52+L21+L57+L34+L40+L28+L63</f>
        <v>155.13333333333335</v>
      </c>
      <c r="I1" s="654" t="s">
        <v>998</v>
      </c>
      <c r="J1" s="654"/>
      <c r="K1" s="654"/>
      <c r="L1" s="654" t="s">
        <v>999</v>
      </c>
      <c r="M1" s="654"/>
      <c r="N1" s="654"/>
      <c r="O1" s="654" t="s">
        <v>1000</v>
      </c>
      <c r="P1" s="654"/>
      <c r="Q1" s="654"/>
      <c r="R1" s="654"/>
      <c r="S1" s="654" t="s">
        <v>1001</v>
      </c>
      <c r="T1" s="654"/>
      <c r="U1" s="654"/>
      <c r="V1" s="654"/>
      <c r="W1" s="654"/>
      <c r="X1" s="654"/>
      <c r="Y1" s="5" t="s">
        <v>1002</v>
      </c>
      <c r="Z1" s="6" t="s">
        <v>1003</v>
      </c>
      <c r="AA1" s="655" t="s">
        <v>1004</v>
      </c>
      <c r="AB1" s="655"/>
      <c r="AC1" s="134" t="s">
        <v>1002</v>
      </c>
      <c r="AD1" s="6" t="s">
        <v>1005</v>
      </c>
      <c r="AE1" s="654" t="s">
        <v>1006</v>
      </c>
      <c r="AF1" s="656"/>
      <c r="AG1" s="656"/>
    </row>
    <row r="2" spans="1:33" ht="26.25" customHeight="1">
      <c r="A2" s="25">
        <v>46213</v>
      </c>
      <c r="B2" s="26" t="s">
        <v>346</v>
      </c>
      <c r="C2" s="2" t="s">
        <v>974</v>
      </c>
      <c r="D2" s="8">
        <f>AVERAGE(N7,N11,N45,N52,N21,N57,N28,N34,N40,N63)</f>
        <v>150.84483023248043</v>
      </c>
      <c r="E2" s="9" t="s">
        <v>0</v>
      </c>
      <c r="F2" s="10">
        <f>F1/D1</f>
        <v>34.271841079438779</v>
      </c>
      <c r="G2" s="1" t="s">
        <v>1007</v>
      </c>
      <c r="H2" s="215">
        <f>COUNT(H5:H63)</f>
        <v>0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SUM(Y7+Y11+Y21+Y28+Y34+Y40+Y45+Y52+Y57+Y63)</f>
        <v>0</v>
      </c>
      <c r="Z2" s="11">
        <f>SUM(Z7+Z11+Z21+Z28+Z34+Z40+Z45+Z52+Z57+Z63)</f>
        <v>0</v>
      </c>
      <c r="AA2" s="655"/>
      <c r="AB2" s="655"/>
      <c r="AC2" s="135">
        <v>49</v>
      </c>
      <c r="AD2" s="11">
        <f>SUM(AD7+AD11+AD21+AD28+AD34+AD40+AD45+AD52+AD57+AD63)</f>
        <v>0</v>
      </c>
      <c r="AE2" s="656"/>
      <c r="AF2" s="656"/>
      <c r="AG2" s="656"/>
    </row>
    <row r="3" spans="1:33" ht="40.5" customHeight="1">
      <c r="A3" s="612" t="s">
        <v>1008</v>
      </c>
      <c r="B3" s="612" t="s">
        <v>1009</v>
      </c>
      <c r="C3" s="612" t="s">
        <v>1010</v>
      </c>
      <c r="D3" s="612"/>
      <c r="E3" s="652" t="s">
        <v>1011</v>
      </c>
      <c r="F3" s="612" t="s">
        <v>1012</v>
      </c>
      <c r="G3" s="652" t="s">
        <v>1013</v>
      </c>
      <c r="H3" s="645" t="s">
        <v>1014</v>
      </c>
      <c r="I3" s="644" t="s">
        <v>1015</v>
      </c>
      <c r="J3" s="641" t="s">
        <v>1016</v>
      </c>
      <c r="K3" s="650" t="s">
        <v>974</v>
      </c>
      <c r="L3" s="644" t="s">
        <v>1015</v>
      </c>
      <c r="M3" s="641" t="s">
        <v>1016</v>
      </c>
      <c r="N3" s="650" t="s">
        <v>974</v>
      </c>
      <c r="O3" s="644" t="s">
        <v>1015</v>
      </c>
      <c r="P3" s="650" t="s">
        <v>974</v>
      </c>
      <c r="Q3" s="642" t="s">
        <v>1017</v>
      </c>
      <c r="R3" s="621" t="s">
        <v>1018</v>
      </c>
      <c r="S3" s="651" t="s">
        <v>1</v>
      </c>
      <c r="T3" s="651"/>
      <c r="U3" s="645" t="s">
        <v>2</v>
      </c>
      <c r="V3" s="645" t="s">
        <v>1019</v>
      </c>
      <c r="W3" s="612" t="s">
        <v>1020</v>
      </c>
      <c r="X3" s="612"/>
      <c r="Y3" s="646" t="s">
        <v>1021</v>
      </c>
      <c r="Z3" s="611"/>
      <c r="AA3" s="647" t="s">
        <v>1022</v>
      </c>
      <c r="AB3" s="648"/>
      <c r="AC3" s="646" t="s">
        <v>1023</v>
      </c>
      <c r="AD3" s="611"/>
      <c r="AE3" s="641" t="s">
        <v>1016</v>
      </c>
      <c r="AF3" s="642" t="s">
        <v>1017</v>
      </c>
      <c r="AG3" s="621" t="s">
        <v>1024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17" t="s">
        <v>3</v>
      </c>
      <c r="T4" s="217" t="s">
        <v>4</v>
      </c>
      <c r="U4" s="645"/>
      <c r="V4" s="645"/>
      <c r="W4" s="216" t="s">
        <v>1025</v>
      </c>
      <c r="X4" s="216" t="s">
        <v>1026</v>
      </c>
      <c r="Y4" s="221" t="s">
        <v>980</v>
      </c>
      <c r="Z4" s="221" t="s">
        <v>1027</v>
      </c>
      <c r="AA4" s="649"/>
      <c r="AB4" s="648"/>
      <c r="AC4" s="221" t="s">
        <v>1028</v>
      </c>
      <c r="AD4" s="221" t="s">
        <v>1029</v>
      </c>
      <c r="AE4" s="641"/>
      <c r="AF4" s="642"/>
      <c r="AG4" s="621"/>
    </row>
    <row r="5" spans="1:33">
      <c r="A5" s="643" t="s">
        <v>1030</v>
      </c>
      <c r="B5" s="27" t="s">
        <v>5</v>
      </c>
      <c r="C5" s="657" t="s">
        <v>14</v>
      </c>
      <c r="D5" s="657"/>
      <c r="E5" s="27">
        <v>50.92</v>
      </c>
      <c r="F5" s="217">
        <v>2068</v>
      </c>
      <c r="G5" s="216">
        <f t="shared" ref="G5:G6" si="0">E5*F5</f>
        <v>105302.56</v>
      </c>
      <c r="H5" s="31"/>
      <c r="I5" s="219">
        <v>15</v>
      </c>
      <c r="J5" s="29">
        <v>2000</v>
      </c>
      <c r="K5" s="12">
        <f t="shared" ref="K5:K63" si="1">J5/I5</f>
        <v>133.33333333333334</v>
      </c>
      <c r="L5" s="219">
        <v>15</v>
      </c>
      <c r="M5" s="13">
        <f t="shared" ref="M5:M6" si="2">F5/V5*60</f>
        <v>1908.9230769230792</v>
      </c>
      <c r="N5" s="12">
        <f t="shared" ref="N5:N63" si="3">M5/L5</f>
        <v>127.26153846153861</v>
      </c>
      <c r="O5" s="14">
        <f t="shared" ref="O5:O63" si="4">L5-I5</f>
        <v>0</v>
      </c>
      <c r="P5" s="15">
        <f t="shared" ref="P5:P63" si="5">N5-K5</f>
        <v>-6.0717948717947365</v>
      </c>
      <c r="Q5" s="222">
        <f t="shared" ref="Q5:Q63" si="6">N5/K5</f>
        <v>0.95446153846153947</v>
      </c>
      <c r="R5" s="616">
        <f>Q7</f>
        <v>0.9581985111662541</v>
      </c>
      <c r="S5" s="32">
        <v>0.70833333333333337</v>
      </c>
      <c r="T5" s="32">
        <v>0.75347222222222221</v>
      </c>
      <c r="U5" s="216"/>
      <c r="V5" s="218">
        <f t="shared" ref="V5:V6" si="7">(T5-S5)*24*60</f>
        <v>64.999999999999929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1" si="8">M5-J5</f>
        <v>-91.076923076920821</v>
      </c>
      <c r="AF5" s="222">
        <f t="shared" ref="AF5:AF63" si="9">M5/J5</f>
        <v>0.95446153846153958</v>
      </c>
      <c r="AG5" s="616">
        <f>AF7</f>
        <v>0.9581985111662541</v>
      </c>
    </row>
    <row r="6" spans="1:33">
      <c r="A6" s="644" t="s">
        <v>1031</v>
      </c>
      <c r="B6" s="27" t="s">
        <v>5</v>
      </c>
      <c r="C6" s="657" t="s">
        <v>19</v>
      </c>
      <c r="D6" s="657"/>
      <c r="E6" s="27">
        <v>50.98</v>
      </c>
      <c r="F6" s="217">
        <v>1988</v>
      </c>
      <c r="G6" s="216">
        <f t="shared" si="0"/>
        <v>101348.23999999999</v>
      </c>
      <c r="H6" s="31"/>
      <c r="I6" s="219">
        <v>16</v>
      </c>
      <c r="J6" s="29">
        <v>2000</v>
      </c>
      <c r="K6" s="12">
        <f t="shared" si="1"/>
        <v>125</v>
      </c>
      <c r="L6" s="219">
        <v>16</v>
      </c>
      <c r="M6" s="13">
        <f t="shared" si="2"/>
        <v>1923.870967741937</v>
      </c>
      <c r="N6" s="12">
        <f t="shared" si="3"/>
        <v>120.24193548387106</v>
      </c>
      <c r="O6" s="14">
        <f t="shared" si="4"/>
        <v>0</v>
      </c>
      <c r="P6" s="15">
        <f t="shared" si="5"/>
        <v>-4.7580645161289397</v>
      </c>
      <c r="Q6" s="222">
        <f t="shared" si="6"/>
        <v>0.9619354838709685</v>
      </c>
      <c r="R6" s="616"/>
      <c r="S6" s="32">
        <v>0.75694444444444442</v>
      </c>
      <c r="T6" s="32">
        <v>0.79999999999999993</v>
      </c>
      <c r="U6" s="216">
        <f t="shared" ref="U6" si="10">IF(S6=TIME(17,0,0),"",(S6-T5)*24*60)</f>
        <v>4.9999999999999822</v>
      </c>
      <c r="V6" s="218">
        <f t="shared" si="7"/>
        <v>61.999999999999943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-76.129032258063035</v>
      </c>
      <c r="AF6" s="222">
        <f t="shared" si="9"/>
        <v>0.9619354838709685</v>
      </c>
      <c r="AG6" s="616"/>
    </row>
    <row r="7" spans="1:33">
      <c r="A7" s="644" t="s">
        <v>1031</v>
      </c>
      <c r="B7" s="27" t="s">
        <v>1032</v>
      </c>
      <c r="C7" s="658"/>
      <c r="D7" s="658"/>
      <c r="E7" s="220"/>
      <c r="F7" s="28"/>
      <c r="G7" s="12"/>
      <c r="H7" s="217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1916.3970223325082</v>
      </c>
      <c r="N7" s="12">
        <f t="shared" si="3"/>
        <v>123.63851756983924</v>
      </c>
      <c r="O7" s="14">
        <f t="shared" si="4"/>
        <v>0</v>
      </c>
      <c r="P7" s="15">
        <f t="shared" si="5"/>
        <v>-5.3937404946768908</v>
      </c>
      <c r="Q7" s="222">
        <f t="shared" si="6"/>
        <v>0.9581985111662541</v>
      </c>
      <c r="R7" s="616"/>
      <c r="S7" s="32"/>
      <c r="T7" s="32"/>
      <c r="U7" s="216"/>
      <c r="V7" s="21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-83.602977667491814</v>
      </c>
      <c r="AF7" s="222">
        <f t="shared" si="9"/>
        <v>0.9581985111662541</v>
      </c>
      <c r="AG7" s="616"/>
    </row>
    <row r="8" spans="1:33" ht="15.75" customHeight="1">
      <c r="A8" s="640" t="s">
        <v>1033</v>
      </c>
      <c r="B8" s="27" t="s">
        <v>8</v>
      </c>
      <c r="C8" s="638" t="s">
        <v>9</v>
      </c>
      <c r="D8" s="639"/>
      <c r="E8" s="27">
        <v>39.619999999999997</v>
      </c>
      <c r="F8" s="217">
        <v>3930</v>
      </c>
      <c r="G8" s="216">
        <f t="shared" ref="G8:G10" si="11">E8*F8</f>
        <v>155706.59999999998</v>
      </c>
      <c r="H8" s="31"/>
      <c r="I8" s="219">
        <v>19</v>
      </c>
      <c r="J8" s="29">
        <v>1500</v>
      </c>
      <c r="K8" s="12">
        <f t="shared" si="1"/>
        <v>78.94736842105263</v>
      </c>
      <c r="L8" s="219">
        <v>19</v>
      </c>
      <c r="M8" s="13">
        <f t="shared" ref="M8:M10" si="12">F8/V8*60</f>
        <v>1437.8048780487807</v>
      </c>
      <c r="N8" s="12">
        <f t="shared" si="3"/>
        <v>75.673940949935826</v>
      </c>
      <c r="O8" s="14">
        <f t="shared" si="4"/>
        <v>0</v>
      </c>
      <c r="P8" s="15">
        <f t="shared" si="5"/>
        <v>-3.2734274711168041</v>
      </c>
      <c r="Q8" s="222">
        <f t="shared" si="6"/>
        <v>0.95853658536585384</v>
      </c>
      <c r="R8" s="616">
        <f>Q11</f>
        <v>0.95526909792748838</v>
      </c>
      <c r="S8" s="32">
        <v>8.3333333333333329E-2</v>
      </c>
      <c r="T8" s="32">
        <v>0.19722222222222222</v>
      </c>
      <c r="U8" s="216"/>
      <c r="V8" s="218">
        <f t="shared" ref="V8:V10" si="13">(T8-S8)*24*60</f>
        <v>164</v>
      </c>
      <c r="W8" s="16">
        <f>T8</f>
        <v>0.19722222222222222</v>
      </c>
      <c r="X8" s="16">
        <f>S9</f>
        <v>0.21527777777777776</v>
      </c>
      <c r="Y8" s="16"/>
      <c r="Z8" s="16"/>
      <c r="AA8" s="612"/>
      <c r="AB8" s="612"/>
      <c r="AC8" s="136">
        <v>3</v>
      </c>
      <c r="AD8" s="18"/>
      <c r="AE8" s="14">
        <f t="shared" si="8"/>
        <v>-62.195121951219335</v>
      </c>
      <c r="AF8" s="222">
        <f t="shared" si="9"/>
        <v>0.95853658536585373</v>
      </c>
      <c r="AG8" s="616">
        <f>AF11</f>
        <v>0.95526909792748838</v>
      </c>
    </row>
    <row r="9" spans="1:33" ht="15.75" customHeight="1">
      <c r="A9" s="640" t="s">
        <v>1033</v>
      </c>
      <c r="B9" s="27" t="s">
        <v>8</v>
      </c>
      <c r="C9" s="638" t="s">
        <v>63</v>
      </c>
      <c r="D9" s="639"/>
      <c r="E9" s="27">
        <v>39.46</v>
      </c>
      <c r="F9" s="217">
        <v>3171</v>
      </c>
      <c r="G9" s="216">
        <f t="shared" si="11"/>
        <v>125127.66</v>
      </c>
      <c r="H9" s="31"/>
      <c r="I9" s="219">
        <v>15</v>
      </c>
      <c r="J9" s="29">
        <v>1500</v>
      </c>
      <c r="K9" s="12">
        <f t="shared" si="1"/>
        <v>100</v>
      </c>
      <c r="L9" s="219">
        <v>15</v>
      </c>
      <c r="M9" s="13">
        <f t="shared" si="12"/>
        <v>1430.5263157894731</v>
      </c>
      <c r="N9" s="12">
        <f t="shared" si="3"/>
        <v>95.368421052631533</v>
      </c>
      <c r="O9" s="14">
        <f t="shared" si="4"/>
        <v>0</v>
      </c>
      <c r="P9" s="15">
        <f t="shared" si="5"/>
        <v>-4.6315789473684674</v>
      </c>
      <c r="Q9" s="222">
        <f t="shared" si="6"/>
        <v>0.95368421052631536</v>
      </c>
      <c r="R9" s="616"/>
      <c r="S9" s="32">
        <v>0.21527777777777776</v>
      </c>
      <c r="T9" s="32">
        <v>0.30763888888888891</v>
      </c>
      <c r="U9" s="216">
        <f t="shared" ref="U9:U10" si="14">IF(S9=TIME(17,0,0),"",(S9-T8)*24*60)</f>
        <v>25.999999999999986</v>
      </c>
      <c r="V9" s="218">
        <f t="shared" si="13"/>
        <v>133.00000000000006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-69.473684210526926</v>
      </c>
      <c r="AF9" s="222">
        <f t="shared" si="9"/>
        <v>0.95368421052631536</v>
      </c>
      <c r="AG9" s="616"/>
    </row>
    <row r="10" spans="1:33" ht="15.75" customHeight="1">
      <c r="A10" s="640" t="s">
        <v>1033</v>
      </c>
      <c r="B10" s="27" t="s">
        <v>8</v>
      </c>
      <c r="C10" s="638" t="s">
        <v>10</v>
      </c>
      <c r="D10" s="639"/>
      <c r="E10" s="27">
        <v>39.799999999999997</v>
      </c>
      <c r="F10" s="217">
        <v>5650</v>
      </c>
      <c r="G10" s="216">
        <f t="shared" si="11"/>
        <v>224869.99999999997</v>
      </c>
      <c r="H10" s="31"/>
      <c r="I10" s="219">
        <v>17</v>
      </c>
      <c r="J10" s="29">
        <v>1500</v>
      </c>
      <c r="K10" s="12">
        <f t="shared" si="1"/>
        <v>88.235294117647058</v>
      </c>
      <c r="L10" s="219">
        <v>17</v>
      </c>
      <c r="M10" s="13">
        <f t="shared" si="12"/>
        <v>1430.3797468354433</v>
      </c>
      <c r="N10" s="12">
        <f t="shared" si="3"/>
        <v>84.139985107967249</v>
      </c>
      <c r="O10" s="14">
        <f t="shared" si="4"/>
        <v>0</v>
      </c>
      <c r="P10" s="15">
        <f t="shared" si="5"/>
        <v>-4.0953090096798093</v>
      </c>
      <c r="Q10" s="222">
        <f t="shared" si="6"/>
        <v>0.95358649789029548</v>
      </c>
      <c r="R10" s="616"/>
      <c r="S10" s="32">
        <v>0.31180555555555556</v>
      </c>
      <c r="T10" s="32">
        <v>0.47638888888888886</v>
      </c>
      <c r="U10" s="216">
        <f t="shared" si="14"/>
        <v>5.9999999999999787</v>
      </c>
      <c r="V10" s="218">
        <f t="shared" si="13"/>
        <v>236.99999999999994</v>
      </c>
      <c r="W10" s="16"/>
      <c r="X10" s="16"/>
      <c r="Y10" s="16"/>
      <c r="Z10" s="16"/>
      <c r="AA10" s="612"/>
      <c r="AB10" s="612"/>
      <c r="AC10" s="136"/>
      <c r="AD10" s="18"/>
      <c r="AE10" s="14">
        <f t="shared" si="8"/>
        <v>-69.620253164556743</v>
      </c>
      <c r="AF10" s="222">
        <f t="shared" si="9"/>
        <v>0.95358649789029548</v>
      </c>
      <c r="AG10" s="616"/>
    </row>
    <row r="11" spans="1:33" ht="16.5" customHeight="1">
      <c r="A11" s="640" t="s">
        <v>1033</v>
      </c>
      <c r="B11" s="27" t="s">
        <v>1032</v>
      </c>
      <c r="C11" s="658"/>
      <c r="D11" s="658"/>
      <c r="E11" s="220"/>
      <c r="F11" s="29"/>
      <c r="G11" s="13"/>
      <c r="H11" s="217"/>
      <c r="I11" s="21">
        <v>17</v>
      </c>
      <c r="J11" s="29">
        <v>1500</v>
      </c>
      <c r="K11" s="12">
        <f t="shared" si="1"/>
        <v>88.235294117647058</v>
      </c>
      <c r="L11" s="21">
        <v>17</v>
      </c>
      <c r="M11" s="13">
        <f>AVERAGE(M8:M10)</f>
        <v>1432.9036468912325</v>
      </c>
      <c r="N11" s="12">
        <f t="shared" si="3"/>
        <v>84.288449817131323</v>
      </c>
      <c r="O11" s="14">
        <f t="shared" si="4"/>
        <v>0</v>
      </c>
      <c r="P11" s="15">
        <f t="shared" si="5"/>
        <v>-3.9468443005157354</v>
      </c>
      <c r="Q11" s="222">
        <f t="shared" si="6"/>
        <v>0.95526909792748838</v>
      </c>
      <c r="R11" s="616"/>
      <c r="S11" s="32"/>
      <c r="T11" s="32"/>
      <c r="U11" s="12"/>
      <c r="V11" s="218"/>
      <c r="W11" s="12"/>
      <c r="X11" s="12"/>
      <c r="Y11" s="22">
        <f>SUM(Y8:Y10)</f>
        <v>0</v>
      </c>
      <c r="Z11" s="22">
        <f>SUM(Z8:Z10)</f>
        <v>0</v>
      </c>
      <c r="AA11" s="611"/>
      <c r="AB11" s="611"/>
      <c r="AC11" s="22">
        <v>3</v>
      </c>
      <c r="AD11" s="22">
        <f>SUM(AD8:AD10)</f>
        <v>0</v>
      </c>
      <c r="AE11" s="14">
        <f t="shared" si="8"/>
        <v>-67.096353108767516</v>
      </c>
      <c r="AF11" s="222">
        <f t="shared" si="9"/>
        <v>0.95526909792748838</v>
      </c>
      <c r="AG11" s="616"/>
    </row>
    <row r="12" spans="1:33" ht="16.5" customHeight="1">
      <c r="A12" s="636" t="s">
        <v>1034</v>
      </c>
      <c r="B12" s="217" t="s">
        <v>1134</v>
      </c>
      <c r="C12" s="659" t="s">
        <v>1035</v>
      </c>
      <c r="D12" s="659"/>
      <c r="E12" s="27">
        <v>31.11</v>
      </c>
      <c r="F12" s="217">
        <v>3592</v>
      </c>
      <c r="G12" s="216">
        <f t="shared" ref="G12:G20" si="15">E12*F12</f>
        <v>111747.12</v>
      </c>
      <c r="H12" s="31"/>
      <c r="I12" s="219">
        <v>14</v>
      </c>
      <c r="J12" s="29">
        <v>2000</v>
      </c>
      <c r="K12" s="12">
        <f t="shared" si="1"/>
        <v>142.85714285714286</v>
      </c>
      <c r="L12" s="219">
        <v>14</v>
      </c>
      <c r="M12" s="13">
        <f t="shared" ref="M12:M20" si="16">F12/V12*60</f>
        <v>1907.2566371681421</v>
      </c>
      <c r="N12" s="12">
        <f t="shared" si="3"/>
        <v>136.23261694058158</v>
      </c>
      <c r="O12" s="14">
        <f t="shared" si="4"/>
        <v>0</v>
      </c>
      <c r="P12" s="15">
        <f t="shared" si="5"/>
        <v>-6.6245259165612822</v>
      </c>
      <c r="Q12" s="222">
        <f t="shared" si="6"/>
        <v>0.95362831858407104</v>
      </c>
      <c r="R12" s="616">
        <f>Q21</f>
        <v>0.95629065419570125</v>
      </c>
      <c r="S12" s="32">
        <v>8.3333333333333329E-2</v>
      </c>
      <c r="T12" s="32">
        <v>0.16180555555555554</v>
      </c>
      <c r="U12" s="216"/>
      <c r="V12" s="218">
        <f t="shared" ref="V12:V20" si="17">(T12-S12)*24*60</f>
        <v>112.99999999999997</v>
      </c>
      <c r="W12" s="16">
        <f>T12</f>
        <v>0.16180555555555554</v>
      </c>
      <c r="X12" s="16">
        <f>S13</f>
        <v>0.18124999999999997</v>
      </c>
      <c r="Y12" s="20"/>
      <c r="Z12" s="20"/>
      <c r="AA12" s="612"/>
      <c r="AB12" s="612"/>
      <c r="AC12" s="136">
        <v>9</v>
      </c>
      <c r="AD12" s="18"/>
      <c r="AE12" s="14">
        <f t="shared" si="8"/>
        <v>-92.743362831857894</v>
      </c>
      <c r="AF12" s="222">
        <f t="shared" si="9"/>
        <v>0.95362831858407104</v>
      </c>
      <c r="AG12" s="616">
        <f>AF21</f>
        <v>0.95629065419570114</v>
      </c>
    </row>
    <row r="13" spans="1:33" ht="16.5" customHeight="1">
      <c r="A13" s="637" t="s">
        <v>1034</v>
      </c>
      <c r="B13" s="217" t="s">
        <v>1134</v>
      </c>
      <c r="C13" s="659" t="s">
        <v>1036</v>
      </c>
      <c r="D13" s="659"/>
      <c r="E13" s="27">
        <v>38.99</v>
      </c>
      <c r="F13" s="217">
        <v>1318</v>
      </c>
      <c r="G13" s="216">
        <f t="shared" si="15"/>
        <v>51388.82</v>
      </c>
      <c r="H13" s="31"/>
      <c r="I13" s="219">
        <v>14</v>
      </c>
      <c r="J13" s="29">
        <v>2000</v>
      </c>
      <c r="K13" s="12">
        <f t="shared" si="1"/>
        <v>142.85714285714286</v>
      </c>
      <c r="L13" s="219">
        <v>14</v>
      </c>
      <c r="M13" s="13">
        <f t="shared" si="16"/>
        <v>1928.7804878048773</v>
      </c>
      <c r="N13" s="12">
        <f t="shared" si="3"/>
        <v>137.77003484320554</v>
      </c>
      <c r="O13" s="14">
        <f t="shared" si="4"/>
        <v>0</v>
      </c>
      <c r="P13" s="15">
        <f t="shared" si="5"/>
        <v>-5.0871080139373248</v>
      </c>
      <c r="Q13" s="222">
        <f t="shared" si="6"/>
        <v>0.96439024390243877</v>
      </c>
      <c r="R13" s="616"/>
      <c r="S13" s="32">
        <v>0.18124999999999997</v>
      </c>
      <c r="T13" s="32">
        <v>0.2097222222222222</v>
      </c>
      <c r="U13" s="216">
        <f t="shared" ref="U13:U20" si="18">IF(S13=TIME(17,0,0),"",(S13-T12)*24*60)</f>
        <v>27.999999999999979</v>
      </c>
      <c r="V13" s="218">
        <f t="shared" si="17"/>
        <v>41.000000000000014</v>
      </c>
      <c r="W13" s="16"/>
      <c r="X13" s="16"/>
      <c r="Y13" s="16"/>
      <c r="Z13" s="16"/>
      <c r="AA13" s="612"/>
      <c r="AB13" s="612"/>
      <c r="AC13" s="136"/>
      <c r="AD13" s="18"/>
      <c r="AE13" s="14">
        <f t="shared" si="8"/>
        <v>-71.219512195122661</v>
      </c>
      <c r="AF13" s="222">
        <f t="shared" si="9"/>
        <v>0.96439024390243866</v>
      </c>
      <c r="AG13" s="616"/>
    </row>
    <row r="14" spans="1:33" ht="16.5" customHeight="1">
      <c r="A14" s="637" t="s">
        <v>1034</v>
      </c>
      <c r="B14" s="217" t="s">
        <v>11</v>
      </c>
      <c r="C14" s="659" t="s">
        <v>67</v>
      </c>
      <c r="D14" s="659"/>
      <c r="E14" s="27">
        <v>38.619999999999997</v>
      </c>
      <c r="F14" s="217">
        <v>1885</v>
      </c>
      <c r="G14" s="216">
        <f t="shared" si="15"/>
        <v>72798.7</v>
      </c>
      <c r="H14" s="31"/>
      <c r="I14" s="219">
        <v>24</v>
      </c>
      <c r="J14" s="29">
        <v>1500</v>
      </c>
      <c r="K14" s="12">
        <f t="shared" si="1"/>
        <v>62.5</v>
      </c>
      <c r="L14" s="219">
        <v>24</v>
      </c>
      <c r="M14" s="13">
        <f t="shared" si="16"/>
        <v>1431.6455696202531</v>
      </c>
      <c r="N14" s="12">
        <f t="shared" si="3"/>
        <v>59.651898734177216</v>
      </c>
      <c r="O14" s="14">
        <f t="shared" si="4"/>
        <v>0</v>
      </c>
      <c r="P14" s="15">
        <f t="shared" si="5"/>
        <v>-2.848101265822784</v>
      </c>
      <c r="Q14" s="222">
        <f t="shared" si="6"/>
        <v>0.95443037974683542</v>
      </c>
      <c r="R14" s="616"/>
      <c r="S14" s="32">
        <v>0.21458333333333332</v>
      </c>
      <c r="T14" s="32">
        <v>0.26944444444444443</v>
      </c>
      <c r="U14" s="216">
        <f t="shared" si="18"/>
        <v>7.0000000000000151</v>
      </c>
      <c r="V14" s="218">
        <f t="shared" si="17"/>
        <v>79</v>
      </c>
      <c r="W14" s="16"/>
      <c r="X14" s="16"/>
      <c r="Y14" s="16"/>
      <c r="Z14" s="16"/>
      <c r="AA14" s="612"/>
      <c r="AB14" s="612"/>
      <c r="AC14" s="136"/>
      <c r="AD14" s="18"/>
      <c r="AE14" s="14">
        <f t="shared" si="8"/>
        <v>-68.354430379746873</v>
      </c>
      <c r="AF14" s="222">
        <f t="shared" si="9"/>
        <v>0.95443037974683542</v>
      </c>
      <c r="AG14" s="616"/>
    </row>
    <row r="15" spans="1:33" ht="16.5" customHeight="1">
      <c r="A15" s="637" t="s">
        <v>1034</v>
      </c>
      <c r="B15" s="217" t="s">
        <v>11</v>
      </c>
      <c r="C15" s="659" t="s">
        <v>12</v>
      </c>
      <c r="D15" s="659"/>
      <c r="E15" s="27">
        <v>41</v>
      </c>
      <c r="F15" s="217">
        <v>1579</v>
      </c>
      <c r="G15" s="216">
        <f t="shared" si="15"/>
        <v>64739</v>
      </c>
      <c r="H15" s="31"/>
      <c r="I15" s="219">
        <v>26</v>
      </c>
      <c r="J15" s="29">
        <v>1500</v>
      </c>
      <c r="K15" s="12">
        <f t="shared" si="1"/>
        <v>57.692307692307693</v>
      </c>
      <c r="L15" s="219">
        <v>26</v>
      </c>
      <c r="M15" s="13">
        <f t="shared" si="16"/>
        <v>1435.4545454545455</v>
      </c>
      <c r="N15" s="12">
        <f t="shared" si="3"/>
        <v>55.209790209790214</v>
      </c>
      <c r="O15" s="14">
        <f t="shared" si="4"/>
        <v>0</v>
      </c>
      <c r="P15" s="15">
        <f t="shared" si="5"/>
        <v>-2.4825174825174798</v>
      </c>
      <c r="Q15" s="222">
        <f t="shared" si="6"/>
        <v>0.95696969696969703</v>
      </c>
      <c r="R15" s="616"/>
      <c r="S15" s="32">
        <v>0.27430555555555552</v>
      </c>
      <c r="T15" s="32">
        <v>0.32013888888888886</v>
      </c>
      <c r="U15" s="216">
        <f t="shared" si="18"/>
        <v>6.9999999999999751</v>
      </c>
      <c r="V15" s="218">
        <f t="shared" si="17"/>
        <v>66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-64.545454545454504</v>
      </c>
      <c r="AF15" s="222">
        <f t="shared" si="9"/>
        <v>0.95696969696969703</v>
      </c>
      <c r="AG15" s="616"/>
    </row>
    <row r="16" spans="1:33" ht="16.5" customHeight="1">
      <c r="A16" s="637" t="s">
        <v>1034</v>
      </c>
      <c r="B16" s="217" t="s">
        <v>5</v>
      </c>
      <c r="C16" s="659" t="s">
        <v>66</v>
      </c>
      <c r="D16" s="659"/>
      <c r="E16" s="27">
        <v>37.03</v>
      </c>
      <c r="F16" s="217">
        <v>3524</v>
      </c>
      <c r="G16" s="216">
        <f t="shared" si="15"/>
        <v>130493.72</v>
      </c>
      <c r="H16" s="31"/>
      <c r="I16" s="219">
        <v>13</v>
      </c>
      <c r="J16" s="29">
        <v>1500</v>
      </c>
      <c r="K16" s="12">
        <f t="shared" si="1"/>
        <v>115.38461538461539</v>
      </c>
      <c r="L16" s="219">
        <v>13</v>
      </c>
      <c r="M16" s="13">
        <f t="shared" si="16"/>
        <v>1428.6486486486483</v>
      </c>
      <c r="N16" s="12">
        <f t="shared" si="3"/>
        <v>109.89604989604987</v>
      </c>
      <c r="O16" s="14">
        <f t="shared" si="4"/>
        <v>0</v>
      </c>
      <c r="P16" s="15">
        <f t="shared" si="5"/>
        <v>-5.4885654885655129</v>
      </c>
      <c r="Q16" s="222">
        <f t="shared" si="6"/>
        <v>0.95243243243243225</v>
      </c>
      <c r="R16" s="616"/>
      <c r="S16" s="32">
        <v>0.32499999999999996</v>
      </c>
      <c r="T16" s="32">
        <v>0.42777777777777776</v>
      </c>
      <c r="U16" s="216">
        <f t="shared" si="18"/>
        <v>6.9999999999999751</v>
      </c>
      <c r="V16" s="218">
        <f t="shared" si="17"/>
        <v>148.00000000000003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-71.351351351351695</v>
      </c>
      <c r="AF16" s="222">
        <f t="shared" si="9"/>
        <v>0.95243243243243225</v>
      </c>
      <c r="AG16" s="616"/>
    </row>
    <row r="17" spans="1:33" ht="16.5" customHeight="1">
      <c r="A17" s="637" t="s">
        <v>1034</v>
      </c>
      <c r="B17" s="217" t="s">
        <v>8</v>
      </c>
      <c r="C17" s="106" t="s">
        <v>74</v>
      </c>
      <c r="D17" s="107"/>
      <c r="E17" s="27">
        <v>39.520000000000003</v>
      </c>
      <c r="F17" s="217">
        <v>2379</v>
      </c>
      <c r="G17" s="216">
        <f t="shared" si="15"/>
        <v>94018.08</v>
      </c>
      <c r="H17" s="31"/>
      <c r="I17" s="219">
        <v>19</v>
      </c>
      <c r="J17" s="29">
        <v>1500</v>
      </c>
      <c r="K17" s="12">
        <f t="shared" si="1"/>
        <v>78.94736842105263</v>
      </c>
      <c r="L17" s="219">
        <v>19</v>
      </c>
      <c r="M17" s="13">
        <f t="shared" si="16"/>
        <v>1441.8181818181813</v>
      </c>
      <c r="N17" s="12">
        <f t="shared" si="3"/>
        <v>75.885167464114801</v>
      </c>
      <c r="O17" s="14">
        <f t="shared" si="4"/>
        <v>0</v>
      </c>
      <c r="P17" s="15">
        <f t="shared" si="5"/>
        <v>-3.0622009569378292</v>
      </c>
      <c r="Q17" s="222">
        <f t="shared" si="6"/>
        <v>0.96121212121212085</v>
      </c>
      <c r="R17" s="616"/>
      <c r="S17" s="32">
        <v>0.43194444444444441</v>
      </c>
      <c r="T17" s="32">
        <v>0.50069444444444444</v>
      </c>
      <c r="U17" s="216">
        <f t="shared" si="18"/>
        <v>5.9999999999999787</v>
      </c>
      <c r="V17" s="218">
        <f t="shared" si="17"/>
        <v>99.000000000000043</v>
      </c>
      <c r="W17" s="16"/>
      <c r="X17" s="16"/>
      <c r="Y17" s="19"/>
      <c r="Z17" s="19"/>
      <c r="AA17" s="223"/>
      <c r="AB17" s="224"/>
      <c r="AC17" s="136"/>
      <c r="AD17" s="18"/>
      <c r="AE17" s="14">
        <f t="shared" si="8"/>
        <v>-58.181818181818699</v>
      </c>
      <c r="AF17" s="222">
        <f t="shared" si="9"/>
        <v>0.96121212121212085</v>
      </c>
      <c r="AG17" s="616"/>
    </row>
    <row r="18" spans="1:33" ht="16.5" customHeight="1">
      <c r="A18" s="637" t="s">
        <v>1034</v>
      </c>
      <c r="B18" s="217" t="s">
        <v>5</v>
      </c>
      <c r="C18" s="106" t="s">
        <v>6</v>
      </c>
      <c r="D18" s="107"/>
      <c r="E18" s="27">
        <v>50.67</v>
      </c>
      <c r="F18" s="217">
        <v>1396</v>
      </c>
      <c r="G18" s="216">
        <f t="shared" si="15"/>
        <v>70735.320000000007</v>
      </c>
      <c r="H18" s="31"/>
      <c r="I18" s="219">
        <v>17</v>
      </c>
      <c r="J18" s="29">
        <v>2000</v>
      </c>
      <c r="K18" s="12">
        <f t="shared" si="1"/>
        <v>117.64705882352941</v>
      </c>
      <c r="L18" s="219">
        <v>17</v>
      </c>
      <c r="M18" s="13">
        <f t="shared" si="16"/>
        <v>1903.6363636363635</v>
      </c>
      <c r="N18" s="12">
        <f t="shared" si="3"/>
        <v>111.97860962566844</v>
      </c>
      <c r="O18" s="14">
        <f t="shared" si="4"/>
        <v>0</v>
      </c>
      <c r="P18" s="15">
        <f t="shared" si="5"/>
        <v>-5.6684491978609657</v>
      </c>
      <c r="Q18" s="222">
        <f t="shared" si="6"/>
        <v>0.95181818181818179</v>
      </c>
      <c r="R18" s="616"/>
      <c r="S18" s="32">
        <v>0.70833333333333337</v>
      </c>
      <c r="T18" s="32">
        <v>0.73888888888888893</v>
      </c>
      <c r="U18" s="216" t="str">
        <f t="shared" si="18"/>
        <v/>
      </c>
      <c r="V18" s="218">
        <f t="shared" si="17"/>
        <v>44</v>
      </c>
      <c r="W18" s="16"/>
      <c r="X18" s="16"/>
      <c r="Y18" s="19"/>
      <c r="Z18" s="19"/>
      <c r="AA18" s="223"/>
      <c r="AB18" s="224"/>
      <c r="AC18" s="136"/>
      <c r="AD18" s="18"/>
      <c r="AE18" s="14">
        <f t="shared" si="8"/>
        <v>-96.363636363636488</v>
      </c>
      <c r="AF18" s="222">
        <f t="shared" si="9"/>
        <v>0.95181818181818179</v>
      </c>
      <c r="AG18" s="616"/>
    </row>
    <row r="19" spans="1:33" ht="16.5" customHeight="1">
      <c r="A19" s="637" t="s">
        <v>1034</v>
      </c>
      <c r="B19" s="217" t="s">
        <v>5</v>
      </c>
      <c r="C19" s="106" t="s">
        <v>7</v>
      </c>
      <c r="D19" s="107"/>
      <c r="E19" s="27">
        <v>50.67</v>
      </c>
      <c r="F19" s="217">
        <v>1279</v>
      </c>
      <c r="G19" s="216">
        <f t="shared" si="15"/>
        <v>64806.93</v>
      </c>
      <c r="H19" s="31"/>
      <c r="I19" s="219">
        <v>15</v>
      </c>
      <c r="J19" s="29">
        <v>2000</v>
      </c>
      <c r="K19" s="12">
        <f t="shared" si="1"/>
        <v>133.33333333333334</v>
      </c>
      <c r="L19" s="219">
        <v>15</v>
      </c>
      <c r="M19" s="13">
        <f t="shared" si="16"/>
        <v>1918.4999999999993</v>
      </c>
      <c r="N19" s="12">
        <f t="shared" si="3"/>
        <v>127.89999999999995</v>
      </c>
      <c r="O19" s="14">
        <f t="shared" si="4"/>
        <v>0</v>
      </c>
      <c r="P19" s="15">
        <f t="shared" si="5"/>
        <v>-5.433333333333394</v>
      </c>
      <c r="Q19" s="222">
        <f t="shared" si="6"/>
        <v>0.9592499999999996</v>
      </c>
      <c r="R19" s="616"/>
      <c r="S19" s="32">
        <v>0.74236111111111114</v>
      </c>
      <c r="T19" s="32">
        <v>0.77013888888888893</v>
      </c>
      <c r="U19" s="216">
        <f t="shared" si="18"/>
        <v>4.9999999999999822</v>
      </c>
      <c r="V19" s="218">
        <f t="shared" si="17"/>
        <v>40.000000000000014</v>
      </c>
      <c r="W19" s="16"/>
      <c r="X19" s="16"/>
      <c r="Y19" s="19"/>
      <c r="Z19" s="19"/>
      <c r="AA19" s="223"/>
      <c r="AB19" s="224"/>
      <c r="AC19" s="136"/>
      <c r="AD19" s="18"/>
      <c r="AE19" s="14">
        <f t="shared" si="8"/>
        <v>-81.500000000000682</v>
      </c>
      <c r="AF19" s="222">
        <f t="shared" si="9"/>
        <v>0.95924999999999971</v>
      </c>
      <c r="AG19" s="616"/>
    </row>
    <row r="20" spans="1:33" ht="16.5" customHeight="1">
      <c r="A20" s="637" t="s">
        <v>1034</v>
      </c>
      <c r="B20" s="217" t="s">
        <v>5</v>
      </c>
      <c r="C20" s="106" t="s">
        <v>615</v>
      </c>
      <c r="D20" s="107"/>
      <c r="E20" s="27">
        <v>54.5</v>
      </c>
      <c r="F20" s="217">
        <v>1617</v>
      </c>
      <c r="G20" s="216">
        <f t="shared" si="15"/>
        <v>88126.5</v>
      </c>
      <c r="H20" s="31"/>
      <c r="I20" s="219">
        <v>20</v>
      </c>
      <c r="J20" s="29">
        <v>1500</v>
      </c>
      <c r="K20" s="12">
        <f t="shared" si="1"/>
        <v>75</v>
      </c>
      <c r="L20" s="219">
        <v>20</v>
      </c>
      <c r="M20" s="13">
        <f t="shared" si="16"/>
        <v>1426.7647058823547</v>
      </c>
      <c r="N20" s="12">
        <f t="shared" si="3"/>
        <v>71.338235294117737</v>
      </c>
      <c r="O20" s="14">
        <f t="shared" si="4"/>
        <v>0</v>
      </c>
      <c r="P20" s="15">
        <f t="shared" si="5"/>
        <v>-3.6617647058822627</v>
      </c>
      <c r="Q20" s="222">
        <f t="shared" si="6"/>
        <v>0.95117647058823651</v>
      </c>
      <c r="R20" s="616"/>
      <c r="S20" s="32">
        <v>0.77361111111111114</v>
      </c>
      <c r="T20" s="32">
        <v>0.8208333333333333</v>
      </c>
      <c r="U20" s="216">
        <f t="shared" si="18"/>
        <v>4.9999999999999822</v>
      </c>
      <c r="V20" s="218">
        <f t="shared" si="17"/>
        <v>67.999999999999915</v>
      </c>
      <c r="W20" s="16"/>
      <c r="X20" s="16"/>
      <c r="Y20" s="19"/>
      <c r="Z20" s="19"/>
      <c r="AA20" s="223"/>
      <c r="AB20" s="224"/>
      <c r="AC20" s="136"/>
      <c r="AD20" s="18"/>
      <c r="AE20" s="14">
        <f t="shared" si="8"/>
        <v>-73.235294117645253</v>
      </c>
      <c r="AF20" s="222">
        <f t="shared" si="9"/>
        <v>0.95117647058823651</v>
      </c>
      <c r="AG20" s="616"/>
    </row>
    <row r="21" spans="1:33" ht="16.5" customHeight="1">
      <c r="A21" s="637" t="s">
        <v>1034</v>
      </c>
      <c r="B21" s="27" t="s">
        <v>1032</v>
      </c>
      <c r="C21" s="658"/>
      <c r="D21" s="658"/>
      <c r="E21" s="220"/>
      <c r="F21" s="28"/>
      <c r="G21" s="12"/>
      <c r="H21" s="217"/>
      <c r="I21" s="21">
        <v>18</v>
      </c>
      <c r="J21" s="29">
        <v>1722.2222222222222</v>
      </c>
      <c r="K21" s="12">
        <f t="shared" si="1"/>
        <v>95.679012345679013</v>
      </c>
      <c r="L21" s="21">
        <v>18</v>
      </c>
      <c r="M21" s="13">
        <f>AVERAGE(M12:M20)</f>
        <v>1646.9450155592631</v>
      </c>
      <c r="N21" s="12">
        <f t="shared" si="3"/>
        <v>91.496945308847955</v>
      </c>
      <c r="O21" s="14">
        <f t="shared" si="4"/>
        <v>0</v>
      </c>
      <c r="P21" s="15">
        <f t="shared" si="5"/>
        <v>-4.1820670368310573</v>
      </c>
      <c r="Q21" s="222">
        <f t="shared" si="6"/>
        <v>0.95629065419570125</v>
      </c>
      <c r="R21" s="616"/>
      <c r="S21" s="32"/>
      <c r="T21" s="32"/>
      <c r="U21" s="216"/>
      <c r="V21" s="218"/>
      <c r="W21" s="12"/>
      <c r="X21" s="12"/>
      <c r="Y21" s="22">
        <f>SUM(Y12:Y20)</f>
        <v>0</v>
      </c>
      <c r="Z21" s="22">
        <f>SUM(Z12:Z20)</f>
        <v>0</v>
      </c>
      <c r="AA21" s="611"/>
      <c r="AB21" s="611"/>
      <c r="AC21" s="22">
        <v>9</v>
      </c>
      <c r="AD21" s="22">
        <f>SUM(AD12:AD20)</f>
        <v>0</v>
      </c>
      <c r="AE21" s="14">
        <f t="shared" si="8"/>
        <v>-75.277206662959088</v>
      </c>
      <c r="AF21" s="222">
        <f t="shared" si="9"/>
        <v>0.95629065419570114</v>
      </c>
      <c r="AG21" s="616"/>
    </row>
    <row r="22" spans="1:33" ht="15.75" customHeight="1">
      <c r="A22" s="634" t="s">
        <v>1037</v>
      </c>
      <c r="B22" s="27" t="s">
        <v>5</v>
      </c>
      <c r="C22" s="659" t="s">
        <v>16</v>
      </c>
      <c r="D22" s="659"/>
      <c r="E22" s="27">
        <v>50.67</v>
      </c>
      <c r="F22" s="217">
        <v>1396</v>
      </c>
      <c r="G22" s="216">
        <f t="shared" ref="G22:G27" si="19">E22*F22</f>
        <v>70735.320000000007</v>
      </c>
      <c r="H22" s="31"/>
      <c r="I22" s="219">
        <v>17</v>
      </c>
      <c r="J22" s="29">
        <v>2000</v>
      </c>
      <c r="K22" s="12">
        <f t="shared" si="1"/>
        <v>117.64705882352941</v>
      </c>
      <c r="L22" s="219">
        <v>17</v>
      </c>
      <c r="M22" s="13">
        <f t="shared" ref="M22:M27" si="20">F22/V22*60</f>
        <v>1903.6363636363635</v>
      </c>
      <c r="N22" s="12">
        <f t="shared" si="3"/>
        <v>111.97860962566844</v>
      </c>
      <c r="O22" s="14">
        <f t="shared" si="4"/>
        <v>0</v>
      </c>
      <c r="P22" s="15">
        <f t="shared" si="5"/>
        <v>-5.6684491978609657</v>
      </c>
      <c r="Q22" s="222">
        <f t="shared" si="6"/>
        <v>0.95181818181818179</v>
      </c>
      <c r="R22" s="616">
        <f>Q28</f>
        <v>0.95868500617030028</v>
      </c>
      <c r="S22" s="32">
        <v>0.20833333333333334</v>
      </c>
      <c r="T22" s="32">
        <v>0.2388888888888889</v>
      </c>
      <c r="U22" s="216"/>
      <c r="V22" s="218">
        <f t="shared" ref="V22:V27" si="21">(T22-S22)*24*60</f>
        <v>44</v>
      </c>
      <c r="W22" s="16"/>
      <c r="X22" s="16"/>
      <c r="Y22" s="20"/>
      <c r="Z22" s="20"/>
      <c r="AA22" s="612"/>
      <c r="AB22" s="612"/>
      <c r="AC22" s="136">
        <v>6</v>
      </c>
      <c r="AD22" s="18"/>
      <c r="AE22" s="14">
        <f t="shared" si="8"/>
        <v>-96.363636363636488</v>
      </c>
      <c r="AF22" s="222">
        <f t="shared" si="9"/>
        <v>0.95181818181818179</v>
      </c>
      <c r="AG22" s="616">
        <f>AF28</f>
        <v>0.95868500617030017</v>
      </c>
    </row>
    <row r="23" spans="1:33" ht="15.75" customHeight="1">
      <c r="A23" s="635" t="s">
        <v>1037</v>
      </c>
      <c r="B23" s="27" t="s">
        <v>5</v>
      </c>
      <c r="C23" s="659" t="s">
        <v>17</v>
      </c>
      <c r="D23" s="659"/>
      <c r="E23" s="27">
        <v>57.73</v>
      </c>
      <c r="F23" s="217">
        <v>1929</v>
      </c>
      <c r="G23" s="216">
        <f t="shared" si="19"/>
        <v>111361.17</v>
      </c>
      <c r="H23" s="31"/>
      <c r="I23" s="219">
        <v>14</v>
      </c>
      <c r="J23" s="29">
        <v>2000</v>
      </c>
      <c r="K23" s="12">
        <f t="shared" si="1"/>
        <v>142.85714285714286</v>
      </c>
      <c r="L23" s="219">
        <v>14</v>
      </c>
      <c r="M23" s="13">
        <f t="shared" si="20"/>
        <v>1928.9999999999991</v>
      </c>
      <c r="N23" s="12">
        <f t="shared" si="3"/>
        <v>137.78571428571422</v>
      </c>
      <c r="O23" s="14">
        <f t="shared" si="4"/>
        <v>0</v>
      </c>
      <c r="P23" s="15">
        <f t="shared" si="5"/>
        <v>-5.0714285714286405</v>
      </c>
      <c r="Q23" s="222">
        <f t="shared" si="6"/>
        <v>0.96449999999999947</v>
      </c>
      <c r="R23" s="616"/>
      <c r="S23" s="32">
        <v>0.24444444444444446</v>
      </c>
      <c r="T23" s="32">
        <v>0.28611111111111115</v>
      </c>
      <c r="U23" s="216">
        <f t="shared" ref="U23:U27" si="22">IF(S23=TIME(17,0,0),"",(S23-T22)*24*60)</f>
        <v>8.0000000000000107</v>
      </c>
      <c r="V23" s="218">
        <f t="shared" si="21"/>
        <v>60.000000000000028</v>
      </c>
      <c r="W23" s="16"/>
      <c r="X23" s="216"/>
      <c r="Y23" s="216"/>
      <c r="Z23" s="216"/>
      <c r="AA23" s="612"/>
      <c r="AB23" s="612"/>
      <c r="AC23" s="136"/>
      <c r="AD23" s="18"/>
      <c r="AE23" s="14">
        <f t="shared" si="8"/>
        <v>-71.000000000000909</v>
      </c>
      <c r="AF23" s="222">
        <f t="shared" si="9"/>
        <v>0.96449999999999958</v>
      </c>
      <c r="AG23" s="616"/>
    </row>
    <row r="24" spans="1:33" ht="15.75" customHeight="1">
      <c r="A24" s="635" t="s">
        <v>1037</v>
      </c>
      <c r="B24" s="27" t="s">
        <v>5</v>
      </c>
      <c r="C24" s="659" t="s">
        <v>60</v>
      </c>
      <c r="D24" s="659"/>
      <c r="E24" s="27">
        <v>53.27</v>
      </c>
      <c r="F24" s="217">
        <v>1241</v>
      </c>
      <c r="G24" s="216">
        <f t="shared" si="19"/>
        <v>66108.070000000007</v>
      </c>
      <c r="H24" s="31"/>
      <c r="I24" s="219">
        <v>16</v>
      </c>
      <c r="J24" s="29">
        <v>2000</v>
      </c>
      <c r="K24" s="12">
        <f t="shared" si="1"/>
        <v>125</v>
      </c>
      <c r="L24" s="219">
        <v>16</v>
      </c>
      <c r="M24" s="13">
        <f t="shared" si="20"/>
        <v>1909.2307692307681</v>
      </c>
      <c r="N24" s="12">
        <f t="shared" si="3"/>
        <v>119.32692307692301</v>
      </c>
      <c r="O24" s="14">
        <f t="shared" si="4"/>
        <v>0</v>
      </c>
      <c r="P24" s="15">
        <f t="shared" si="5"/>
        <v>-5.6730769230769909</v>
      </c>
      <c r="Q24" s="222">
        <f t="shared" si="6"/>
        <v>0.95461538461538409</v>
      </c>
      <c r="R24" s="616"/>
      <c r="S24" s="32">
        <v>0.2902777777777778</v>
      </c>
      <c r="T24" s="32">
        <v>0.31736111111111115</v>
      </c>
      <c r="U24" s="216">
        <f t="shared" si="22"/>
        <v>5.9999999999999787</v>
      </c>
      <c r="V24" s="218">
        <f t="shared" si="21"/>
        <v>39.000000000000021</v>
      </c>
      <c r="W24" s="16"/>
      <c r="X24" s="216"/>
      <c r="Y24" s="216"/>
      <c r="Z24" s="216"/>
      <c r="AA24" s="612"/>
      <c r="AB24" s="612"/>
      <c r="AC24" s="136"/>
      <c r="AD24" s="18"/>
      <c r="AE24" s="14">
        <f t="shared" si="8"/>
        <v>-90.769230769231854</v>
      </c>
      <c r="AF24" s="222">
        <f t="shared" si="9"/>
        <v>0.95461538461538409</v>
      </c>
      <c r="AG24" s="616"/>
    </row>
    <row r="25" spans="1:33" ht="15.75" customHeight="1">
      <c r="A25" s="635" t="s">
        <v>1037</v>
      </c>
      <c r="B25" s="27" t="s">
        <v>5</v>
      </c>
      <c r="C25" s="659" t="s">
        <v>81</v>
      </c>
      <c r="D25" s="659"/>
      <c r="E25" s="27">
        <v>51.44</v>
      </c>
      <c r="F25" s="217">
        <v>1634</v>
      </c>
      <c r="G25" s="216">
        <f t="shared" si="19"/>
        <v>84052.959999999992</v>
      </c>
      <c r="H25" s="31"/>
      <c r="I25" s="219">
        <v>25</v>
      </c>
      <c r="J25" s="29">
        <v>2000</v>
      </c>
      <c r="K25" s="12">
        <f t="shared" si="1"/>
        <v>80</v>
      </c>
      <c r="L25" s="219">
        <v>25</v>
      </c>
      <c r="M25" s="13">
        <f t="shared" si="20"/>
        <v>1922.3529411764714</v>
      </c>
      <c r="N25" s="12">
        <f t="shared" si="3"/>
        <v>76.894117647058863</v>
      </c>
      <c r="O25" s="14">
        <f t="shared" si="4"/>
        <v>0</v>
      </c>
      <c r="P25" s="15">
        <f t="shared" si="5"/>
        <v>-3.105882352941137</v>
      </c>
      <c r="Q25" s="222">
        <f t="shared" si="6"/>
        <v>0.96117647058823574</v>
      </c>
      <c r="R25" s="616"/>
      <c r="S25" s="32">
        <v>0.3215277777777778</v>
      </c>
      <c r="T25" s="32">
        <v>0.35694444444444445</v>
      </c>
      <c r="U25" s="216">
        <f t="shared" si="22"/>
        <v>5.9999999999999787</v>
      </c>
      <c r="V25" s="218">
        <f t="shared" si="21"/>
        <v>50.999999999999979</v>
      </c>
      <c r="W25" s="16"/>
      <c r="X25" s="216"/>
      <c r="Y25" s="216"/>
      <c r="Z25" s="216"/>
      <c r="AA25" s="612"/>
      <c r="AB25" s="612"/>
      <c r="AC25" s="136"/>
      <c r="AD25" s="18"/>
      <c r="AE25" s="14">
        <f t="shared" si="8"/>
        <v>-77.647058823528596</v>
      </c>
      <c r="AF25" s="222">
        <f t="shared" si="9"/>
        <v>0.96117647058823574</v>
      </c>
      <c r="AG25" s="616"/>
    </row>
    <row r="26" spans="1:33" ht="15.75" customHeight="1">
      <c r="A26" s="635" t="s">
        <v>1037</v>
      </c>
      <c r="B26" s="27" t="s">
        <v>5</v>
      </c>
      <c r="C26" s="659" t="s">
        <v>18</v>
      </c>
      <c r="D26" s="659"/>
      <c r="E26" s="27">
        <v>50.49</v>
      </c>
      <c r="F26" s="217">
        <v>1664</v>
      </c>
      <c r="G26" s="216">
        <f t="shared" si="19"/>
        <v>84015.360000000001</v>
      </c>
      <c r="H26" s="31"/>
      <c r="I26" s="219">
        <v>15</v>
      </c>
      <c r="J26" s="29">
        <v>2000</v>
      </c>
      <c r="K26" s="12">
        <f t="shared" si="1"/>
        <v>133.33333333333334</v>
      </c>
      <c r="L26" s="219">
        <v>15</v>
      </c>
      <c r="M26" s="13">
        <f t="shared" si="20"/>
        <v>1920.0000000000009</v>
      </c>
      <c r="N26" s="12">
        <f t="shared" si="3"/>
        <v>128.00000000000006</v>
      </c>
      <c r="O26" s="14">
        <f t="shared" si="4"/>
        <v>0</v>
      </c>
      <c r="P26" s="15">
        <f t="shared" si="5"/>
        <v>-5.333333333333286</v>
      </c>
      <c r="Q26" s="222">
        <f t="shared" si="6"/>
        <v>0.96000000000000041</v>
      </c>
      <c r="R26" s="616"/>
      <c r="S26" s="32">
        <v>0.70833333333333337</v>
      </c>
      <c r="T26" s="32">
        <v>0.74444444444444446</v>
      </c>
      <c r="U26" s="216" t="str">
        <f t="shared" si="22"/>
        <v/>
      </c>
      <c r="V26" s="218">
        <f t="shared" si="21"/>
        <v>51.999999999999972</v>
      </c>
      <c r="W26" s="16"/>
      <c r="X26" s="16"/>
      <c r="Y26" s="216"/>
      <c r="Z26" s="216"/>
      <c r="AA26" s="612"/>
      <c r="AB26" s="612"/>
      <c r="AC26" s="136"/>
      <c r="AD26" s="18"/>
      <c r="AE26" s="14">
        <f t="shared" si="8"/>
        <v>-79.999999999999091</v>
      </c>
      <c r="AF26" s="222">
        <f t="shared" si="9"/>
        <v>0.96000000000000041</v>
      </c>
      <c r="AG26" s="616"/>
    </row>
    <row r="27" spans="1:33" ht="15.75" customHeight="1">
      <c r="A27" s="635" t="s">
        <v>1037</v>
      </c>
      <c r="B27" s="27" t="s">
        <v>5</v>
      </c>
      <c r="C27" s="659" t="s">
        <v>62</v>
      </c>
      <c r="D27" s="659"/>
      <c r="E27" s="27">
        <v>51.06</v>
      </c>
      <c r="F27" s="217">
        <v>2720</v>
      </c>
      <c r="G27" s="216">
        <f t="shared" si="19"/>
        <v>138883.20000000001</v>
      </c>
      <c r="H27" s="31"/>
      <c r="I27" s="219">
        <v>13</v>
      </c>
      <c r="J27" s="29">
        <v>2000</v>
      </c>
      <c r="K27" s="12">
        <f t="shared" si="1"/>
        <v>153.84615384615384</v>
      </c>
      <c r="L27" s="219">
        <v>13</v>
      </c>
      <c r="M27" s="13">
        <f t="shared" si="20"/>
        <v>1919.9999999999995</v>
      </c>
      <c r="N27" s="12">
        <f t="shared" si="3"/>
        <v>147.69230769230765</v>
      </c>
      <c r="O27" s="14">
        <f t="shared" si="4"/>
        <v>0</v>
      </c>
      <c r="P27" s="15">
        <f t="shared" si="5"/>
        <v>-6.1538461538461888</v>
      </c>
      <c r="Q27" s="222">
        <f t="shared" si="6"/>
        <v>0.95999999999999974</v>
      </c>
      <c r="R27" s="616"/>
      <c r="S27" s="32">
        <v>0.74861111111111112</v>
      </c>
      <c r="T27" s="32">
        <v>0.80763888888888891</v>
      </c>
      <c r="U27" s="216">
        <f t="shared" si="22"/>
        <v>5.9999999999999787</v>
      </c>
      <c r="V27" s="218">
        <f t="shared" si="21"/>
        <v>85.000000000000014</v>
      </c>
      <c r="W27" s="16"/>
      <c r="X27" s="20"/>
      <c r="Y27" s="20"/>
      <c r="Z27" s="20"/>
      <c r="AA27" s="612"/>
      <c r="AB27" s="612"/>
      <c r="AC27" s="136"/>
      <c r="AD27" s="18"/>
      <c r="AE27" s="14">
        <f t="shared" si="8"/>
        <v>-80.000000000000455</v>
      </c>
      <c r="AF27" s="222">
        <f t="shared" si="9"/>
        <v>0.95999999999999974</v>
      </c>
      <c r="AG27" s="616"/>
    </row>
    <row r="28" spans="1:33" ht="15.75" customHeight="1">
      <c r="A28" s="635" t="s">
        <v>1037</v>
      </c>
      <c r="B28" s="27" t="s">
        <v>1032</v>
      </c>
      <c r="C28" s="658"/>
      <c r="D28" s="658"/>
      <c r="E28" s="220"/>
      <c r="F28" s="217"/>
      <c r="G28" s="216"/>
      <c r="H28" s="217"/>
      <c r="I28" s="21">
        <v>16.666666666666668</v>
      </c>
      <c r="J28" s="29">
        <v>2000</v>
      </c>
      <c r="K28" s="12">
        <f t="shared" si="1"/>
        <v>119.99999999999999</v>
      </c>
      <c r="L28" s="21">
        <v>16.666666666666668</v>
      </c>
      <c r="M28" s="13">
        <f>AVERAGE(M22:M27)</f>
        <v>1917.3700123406004</v>
      </c>
      <c r="N28" s="12">
        <f t="shared" si="3"/>
        <v>115.04220074043602</v>
      </c>
      <c r="O28" s="14">
        <f t="shared" si="4"/>
        <v>0</v>
      </c>
      <c r="P28" s="15">
        <f t="shared" si="5"/>
        <v>-4.9577992595639699</v>
      </c>
      <c r="Q28" s="222">
        <f t="shared" si="6"/>
        <v>0.95868500617030028</v>
      </c>
      <c r="R28" s="616"/>
      <c r="S28" s="32"/>
      <c r="T28" s="32"/>
      <c r="U28" s="12"/>
      <c r="V28" s="218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-82.629987659399603</v>
      </c>
      <c r="AF28" s="222">
        <f t="shared" si="9"/>
        <v>0.95868500617030017</v>
      </c>
      <c r="AG28" s="616"/>
    </row>
    <row r="29" spans="1:33" ht="15.75" customHeight="1">
      <c r="A29" s="633" t="s">
        <v>1038</v>
      </c>
      <c r="B29" s="27" t="s">
        <v>20</v>
      </c>
      <c r="C29" s="659" t="s">
        <v>21</v>
      </c>
      <c r="D29" s="659"/>
      <c r="E29" s="27">
        <v>31.29</v>
      </c>
      <c r="F29" s="217">
        <v>6348</v>
      </c>
      <c r="G29" s="216">
        <f t="shared" ref="G29:G33" si="23">E29*F29</f>
        <v>198628.91999999998</v>
      </c>
      <c r="H29" s="31"/>
      <c r="I29" s="219">
        <v>18</v>
      </c>
      <c r="J29" s="29">
        <v>2400</v>
      </c>
      <c r="K29" s="12">
        <f t="shared" si="1"/>
        <v>133.33333333333334</v>
      </c>
      <c r="L29" s="219">
        <v>18</v>
      </c>
      <c r="M29" s="13">
        <f t="shared" ref="M29:M33" si="24">F29/V29*60</f>
        <v>2294.4578313253014</v>
      </c>
      <c r="N29" s="12">
        <f t="shared" si="3"/>
        <v>127.4698795180723</v>
      </c>
      <c r="O29" s="14">
        <f t="shared" si="4"/>
        <v>0</v>
      </c>
      <c r="P29" s="15">
        <f t="shared" si="5"/>
        <v>-5.8634538152610389</v>
      </c>
      <c r="Q29" s="222">
        <f t="shared" si="6"/>
        <v>0.9560240963855422</v>
      </c>
      <c r="R29" s="616">
        <f>Q34</f>
        <v>0.95535543973068171</v>
      </c>
      <c r="S29" s="32">
        <v>8.3333333333333329E-2</v>
      </c>
      <c r="T29" s="32">
        <v>0.1986111111111111</v>
      </c>
      <c r="U29" s="216"/>
      <c r="V29" s="218">
        <f t="shared" ref="V29:V33" si="25">(T29-S29)*24*60</f>
        <v>166</v>
      </c>
      <c r="W29" s="16">
        <f>T29</f>
        <v>0.1986111111111111</v>
      </c>
      <c r="X29" s="16">
        <f>S30</f>
        <v>0.21875</v>
      </c>
      <c r="Y29" s="16"/>
      <c r="Z29" s="16"/>
      <c r="AA29" s="612"/>
      <c r="AB29" s="612"/>
      <c r="AC29" s="136">
        <v>5</v>
      </c>
      <c r="AD29" s="18"/>
      <c r="AE29" s="14">
        <f t="shared" si="8"/>
        <v>-105.54216867469859</v>
      </c>
      <c r="AF29" s="222">
        <f t="shared" si="9"/>
        <v>0.95602409638554231</v>
      </c>
      <c r="AG29" s="616">
        <f>AF34</f>
        <v>0.95535543973068149</v>
      </c>
    </row>
    <row r="30" spans="1:33" ht="15.75" customHeight="1">
      <c r="A30" s="633" t="s">
        <v>1038</v>
      </c>
      <c r="B30" s="27" t="s">
        <v>20</v>
      </c>
      <c r="C30" s="659" t="s">
        <v>22</v>
      </c>
      <c r="D30" s="659"/>
      <c r="E30" s="27">
        <v>26.37</v>
      </c>
      <c r="F30" s="217">
        <v>4720</v>
      </c>
      <c r="G30" s="216">
        <f t="shared" si="23"/>
        <v>124466.40000000001</v>
      </c>
      <c r="H30" s="31"/>
      <c r="I30" s="219">
        <v>18</v>
      </c>
      <c r="J30" s="29">
        <v>2400</v>
      </c>
      <c r="K30" s="12">
        <f t="shared" si="1"/>
        <v>133.33333333333334</v>
      </c>
      <c r="L30" s="219">
        <v>18</v>
      </c>
      <c r="M30" s="13">
        <f t="shared" si="24"/>
        <v>2302.4390243902449</v>
      </c>
      <c r="N30" s="12">
        <f t="shared" si="3"/>
        <v>127.91327913279139</v>
      </c>
      <c r="O30" s="14">
        <f t="shared" si="4"/>
        <v>0</v>
      </c>
      <c r="P30" s="15">
        <f t="shared" si="5"/>
        <v>-5.420054200541955</v>
      </c>
      <c r="Q30" s="222">
        <f t="shared" si="6"/>
        <v>0.95934959349593529</v>
      </c>
      <c r="R30" s="616"/>
      <c r="S30" s="32">
        <v>0.21875</v>
      </c>
      <c r="T30" s="32">
        <v>0.30416666666666664</v>
      </c>
      <c r="U30" s="216">
        <f t="shared" ref="U30:U33" si="26">(S30-T29)*24*60</f>
        <v>29.000000000000018</v>
      </c>
      <c r="V30" s="218">
        <f t="shared" si="25"/>
        <v>122.99999999999996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-97.560975609755133</v>
      </c>
      <c r="AF30" s="222">
        <f t="shared" si="9"/>
        <v>0.9593495934959354</v>
      </c>
      <c r="AG30" s="616"/>
    </row>
    <row r="31" spans="1:33" ht="15.75" customHeight="1">
      <c r="A31" s="633" t="s">
        <v>1038</v>
      </c>
      <c r="B31" s="27" t="s">
        <v>20</v>
      </c>
      <c r="C31" s="659" t="s">
        <v>57</v>
      </c>
      <c r="D31" s="659"/>
      <c r="E31" s="27">
        <v>26.18</v>
      </c>
      <c r="F31" s="217">
        <v>5776</v>
      </c>
      <c r="G31" s="216">
        <f t="shared" si="23"/>
        <v>151215.67999999999</v>
      </c>
      <c r="H31" s="31"/>
      <c r="I31" s="219">
        <v>18</v>
      </c>
      <c r="J31" s="29">
        <v>2400</v>
      </c>
      <c r="K31" s="12">
        <f t="shared" si="1"/>
        <v>133.33333333333334</v>
      </c>
      <c r="L31" s="219">
        <v>18</v>
      </c>
      <c r="M31" s="13">
        <f t="shared" si="24"/>
        <v>2279.9999999999995</v>
      </c>
      <c r="N31" s="12">
        <f t="shared" si="3"/>
        <v>126.66666666666664</v>
      </c>
      <c r="O31" s="14">
        <f t="shared" si="4"/>
        <v>0</v>
      </c>
      <c r="P31" s="15">
        <f t="shared" si="5"/>
        <v>-6.6666666666666998</v>
      </c>
      <c r="Q31" s="222">
        <f t="shared" si="6"/>
        <v>0.94999999999999973</v>
      </c>
      <c r="R31" s="616"/>
      <c r="S31" s="32">
        <v>0.30902777777777773</v>
      </c>
      <c r="T31" s="32">
        <v>0.4145833333333333</v>
      </c>
      <c r="U31" s="216">
        <f t="shared" si="26"/>
        <v>6.9999999999999751</v>
      </c>
      <c r="V31" s="218">
        <f t="shared" si="25"/>
        <v>152.00000000000003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-120.00000000000045</v>
      </c>
      <c r="AF31" s="222">
        <f t="shared" si="9"/>
        <v>0.94999999999999984</v>
      </c>
      <c r="AG31" s="616"/>
    </row>
    <row r="32" spans="1:33" ht="15.75" customHeight="1">
      <c r="A32" s="633" t="s">
        <v>1038</v>
      </c>
      <c r="B32" s="27" t="s">
        <v>20</v>
      </c>
      <c r="C32" s="659" t="s">
        <v>64</v>
      </c>
      <c r="D32" s="659"/>
      <c r="E32" s="27">
        <v>20.21</v>
      </c>
      <c r="F32" s="217">
        <v>2192</v>
      </c>
      <c r="G32" s="216">
        <f t="shared" si="23"/>
        <v>44300.32</v>
      </c>
      <c r="H32" s="31"/>
      <c r="I32" s="219">
        <v>18</v>
      </c>
      <c r="J32" s="29">
        <v>2400</v>
      </c>
      <c r="K32" s="12">
        <f t="shared" si="1"/>
        <v>133.33333333333334</v>
      </c>
      <c r="L32" s="219">
        <v>18</v>
      </c>
      <c r="M32" s="13">
        <f t="shared" si="24"/>
        <v>2307.368421052633</v>
      </c>
      <c r="N32" s="12">
        <f t="shared" si="3"/>
        <v>128.18713450292407</v>
      </c>
      <c r="O32" s="14">
        <f t="shared" si="4"/>
        <v>0</v>
      </c>
      <c r="P32" s="15">
        <f t="shared" si="5"/>
        <v>-5.1461988304092756</v>
      </c>
      <c r="Q32" s="222">
        <f t="shared" si="6"/>
        <v>0.96140350877193048</v>
      </c>
      <c r="R32" s="616"/>
      <c r="S32" s="32">
        <v>0.41805555555555551</v>
      </c>
      <c r="T32" s="32">
        <v>0.45763888888888882</v>
      </c>
      <c r="U32" s="216">
        <f t="shared" si="26"/>
        <v>4.9999999999999822</v>
      </c>
      <c r="V32" s="218">
        <f t="shared" si="25"/>
        <v>56.999999999999957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-92.631578947366961</v>
      </c>
      <c r="AF32" s="222">
        <f t="shared" si="9"/>
        <v>0.96140350877193048</v>
      </c>
      <c r="AG32" s="616"/>
    </row>
    <row r="33" spans="1:33" ht="15.75" customHeight="1">
      <c r="A33" s="633" t="s">
        <v>1038</v>
      </c>
      <c r="B33" s="27" t="s">
        <v>20</v>
      </c>
      <c r="C33" s="659" t="s">
        <v>23</v>
      </c>
      <c r="D33" s="659"/>
      <c r="E33" s="27">
        <v>25.99</v>
      </c>
      <c r="F33" s="217">
        <v>3154</v>
      </c>
      <c r="G33" s="216">
        <f t="shared" si="23"/>
        <v>81972.459999999992</v>
      </c>
      <c r="H33" s="31"/>
      <c r="I33" s="219">
        <v>14</v>
      </c>
      <c r="J33" s="29">
        <v>2400</v>
      </c>
      <c r="K33" s="12">
        <f t="shared" si="1"/>
        <v>171.42857142857142</v>
      </c>
      <c r="L33" s="219">
        <v>14</v>
      </c>
      <c r="M33" s="13">
        <f t="shared" si="24"/>
        <v>2279.9999999999991</v>
      </c>
      <c r="N33" s="12">
        <f t="shared" si="3"/>
        <v>162.8571428571428</v>
      </c>
      <c r="O33" s="14">
        <f t="shared" si="4"/>
        <v>0</v>
      </c>
      <c r="P33" s="15">
        <f t="shared" si="5"/>
        <v>-8.571428571428612</v>
      </c>
      <c r="Q33" s="222">
        <f t="shared" si="6"/>
        <v>0.94999999999999973</v>
      </c>
      <c r="R33" s="616"/>
      <c r="S33" s="32">
        <v>0.46180555555555547</v>
      </c>
      <c r="T33" s="32">
        <v>0.51944444444444438</v>
      </c>
      <c r="U33" s="216">
        <f t="shared" si="26"/>
        <v>5.9999999999999787</v>
      </c>
      <c r="V33" s="218">
        <f t="shared" si="25"/>
        <v>83.000000000000028</v>
      </c>
      <c r="W33" s="16"/>
      <c r="X33" s="16"/>
      <c r="Y33" s="16"/>
      <c r="Z33" s="16"/>
      <c r="AA33" s="612"/>
      <c r="AB33" s="612"/>
      <c r="AC33" s="136"/>
      <c r="AD33" s="18"/>
      <c r="AE33" s="14">
        <f t="shared" si="8"/>
        <v>-120.00000000000091</v>
      </c>
      <c r="AF33" s="222">
        <f t="shared" si="9"/>
        <v>0.94999999999999962</v>
      </c>
      <c r="AG33" s="616"/>
    </row>
    <row r="34" spans="1:33" ht="15.75" customHeight="1">
      <c r="A34" s="633" t="s">
        <v>1038</v>
      </c>
      <c r="B34" s="27" t="s">
        <v>1032</v>
      </c>
      <c r="C34" s="658"/>
      <c r="D34" s="658"/>
      <c r="E34" s="220"/>
      <c r="F34" s="217"/>
      <c r="G34" s="216"/>
      <c r="H34" s="217"/>
      <c r="I34" s="21">
        <v>17.2</v>
      </c>
      <c r="J34" s="29">
        <v>2400</v>
      </c>
      <c r="K34" s="12">
        <f t="shared" si="1"/>
        <v>139.53488372093022</v>
      </c>
      <c r="L34" s="21">
        <v>17.2</v>
      </c>
      <c r="M34" s="13">
        <f>AVERAGE(M29:M33)</f>
        <v>2292.8530553536357</v>
      </c>
      <c r="N34" s="12">
        <f t="shared" si="3"/>
        <v>133.30541019497883</v>
      </c>
      <c r="O34" s="14">
        <f t="shared" si="4"/>
        <v>0</v>
      </c>
      <c r="P34" s="15">
        <f t="shared" si="5"/>
        <v>-6.2294735259513914</v>
      </c>
      <c r="Q34" s="222">
        <f t="shared" si="6"/>
        <v>0.95535543973068171</v>
      </c>
      <c r="R34" s="616"/>
      <c r="S34" s="32"/>
      <c r="T34" s="32"/>
      <c r="U34" s="216"/>
      <c r="V34" s="218"/>
      <c r="W34" s="216"/>
      <c r="X34" s="216"/>
      <c r="Y34" s="22">
        <f>SUM(Y29:Y33)</f>
        <v>0</v>
      </c>
      <c r="Z34" s="22">
        <f>SUM(Z29:Z33)</f>
        <v>0</v>
      </c>
      <c r="AA34" s="611"/>
      <c r="AB34" s="611"/>
      <c r="AC34" s="22">
        <v>5</v>
      </c>
      <c r="AD34" s="22">
        <f>SUM(AD29:AD33)</f>
        <v>0</v>
      </c>
      <c r="AE34" s="14">
        <f t="shared" si="8"/>
        <v>-107.14694464636432</v>
      </c>
      <c r="AF34" s="222">
        <f t="shared" si="9"/>
        <v>0.95535543973068149</v>
      </c>
      <c r="AG34" s="616"/>
    </row>
    <row r="35" spans="1:33" ht="15.75" customHeight="1">
      <c r="A35" s="629" t="s">
        <v>1039</v>
      </c>
      <c r="B35" s="27" t="s">
        <v>20</v>
      </c>
      <c r="C35" s="660" t="s">
        <v>58</v>
      </c>
      <c r="D35" s="660"/>
      <c r="E35" s="27">
        <v>26.18</v>
      </c>
      <c r="F35" s="217">
        <v>4543</v>
      </c>
      <c r="G35" s="216">
        <f t="shared" ref="G35:G39" si="27">E35*F35</f>
        <v>118935.74</v>
      </c>
      <c r="H35" s="31"/>
      <c r="I35" s="219">
        <v>20</v>
      </c>
      <c r="J35" s="29">
        <v>2400</v>
      </c>
      <c r="K35" s="12">
        <f t="shared" si="1"/>
        <v>120</v>
      </c>
      <c r="L35" s="219">
        <v>20</v>
      </c>
      <c r="M35" s="13">
        <f t="shared" ref="M35:M39" si="28">F35/V35*60</f>
        <v>2290.588235294118</v>
      </c>
      <c r="N35" s="12">
        <f t="shared" si="3"/>
        <v>114.5294117647059</v>
      </c>
      <c r="O35" s="14">
        <f t="shared" si="4"/>
        <v>0</v>
      </c>
      <c r="P35" s="15">
        <f t="shared" si="5"/>
        <v>-5.4705882352941018</v>
      </c>
      <c r="Q35" s="222">
        <f t="shared" si="6"/>
        <v>0.95441176470588251</v>
      </c>
      <c r="R35" s="616">
        <f>Q40</f>
        <v>0.9550121715352804</v>
      </c>
      <c r="S35" s="32">
        <v>8.3333333333333329E-2</v>
      </c>
      <c r="T35" s="32">
        <v>0.16597222222222222</v>
      </c>
      <c r="U35" s="216"/>
      <c r="V35" s="218">
        <f t="shared" ref="V35:V39" si="29">(T35-S35)*24*60</f>
        <v>119</v>
      </c>
      <c r="W35" s="20">
        <f>T35</f>
        <v>0.16597222222222222</v>
      </c>
      <c r="X35" s="20">
        <f>S36</f>
        <v>0.18541666666666667</v>
      </c>
      <c r="Y35" s="20"/>
      <c r="Z35" s="20"/>
      <c r="AA35" s="612"/>
      <c r="AB35" s="612"/>
      <c r="AC35" s="136">
        <v>5</v>
      </c>
      <c r="AD35" s="18"/>
      <c r="AE35" s="14">
        <f t="shared" si="8"/>
        <v>-109.41176470588198</v>
      </c>
      <c r="AF35" s="222">
        <f t="shared" si="9"/>
        <v>0.95441176470588251</v>
      </c>
      <c r="AG35" s="616">
        <f>AF40</f>
        <v>0.9550121715352804</v>
      </c>
    </row>
    <row r="36" spans="1:33" ht="15.75" customHeight="1">
      <c r="A36" s="629" t="s">
        <v>282</v>
      </c>
      <c r="B36" s="27" t="s">
        <v>20</v>
      </c>
      <c r="C36" s="660" t="s">
        <v>25</v>
      </c>
      <c r="D36" s="660"/>
      <c r="E36" s="27">
        <v>24.43</v>
      </c>
      <c r="F36" s="217">
        <v>5180</v>
      </c>
      <c r="G36" s="216">
        <f t="shared" si="27"/>
        <v>126547.4</v>
      </c>
      <c r="H36" s="31"/>
      <c r="I36" s="219">
        <v>14</v>
      </c>
      <c r="J36" s="29">
        <v>2400</v>
      </c>
      <c r="K36" s="12">
        <f t="shared" si="1"/>
        <v>171.42857142857142</v>
      </c>
      <c r="L36" s="219">
        <v>14</v>
      </c>
      <c r="M36" s="13">
        <f t="shared" si="28"/>
        <v>2285.2941176470586</v>
      </c>
      <c r="N36" s="12">
        <f t="shared" si="3"/>
        <v>163.23529411764704</v>
      </c>
      <c r="O36" s="14">
        <f t="shared" si="4"/>
        <v>0</v>
      </c>
      <c r="P36" s="15">
        <f t="shared" si="5"/>
        <v>-8.1932773109243726</v>
      </c>
      <c r="Q36" s="222">
        <f t="shared" si="6"/>
        <v>0.95220588235294112</v>
      </c>
      <c r="R36" s="616"/>
      <c r="S36" s="32">
        <v>0.18541666666666667</v>
      </c>
      <c r="T36" s="32">
        <v>0.27986111111111112</v>
      </c>
      <c r="U36" s="216">
        <f t="shared" ref="U36:U39" si="30">(S36-T35)*24*60</f>
        <v>28.000000000000021</v>
      </c>
      <c r="V36" s="218">
        <f t="shared" si="29"/>
        <v>136</v>
      </c>
      <c r="W36" s="216"/>
      <c r="X36" s="216"/>
      <c r="Y36" s="216"/>
      <c r="Z36" s="216"/>
      <c r="AA36" s="612"/>
      <c r="AB36" s="612"/>
      <c r="AC36" s="136"/>
      <c r="AD36" s="18"/>
      <c r="AE36" s="14">
        <f t="shared" si="8"/>
        <v>-114.70588235294144</v>
      </c>
      <c r="AF36" s="222">
        <f t="shared" si="9"/>
        <v>0.95220588235294101</v>
      </c>
      <c r="AG36" s="616"/>
    </row>
    <row r="37" spans="1:33">
      <c r="A37" s="630" t="s">
        <v>282</v>
      </c>
      <c r="B37" s="27" t="s">
        <v>20</v>
      </c>
      <c r="C37" s="660" t="s">
        <v>83</v>
      </c>
      <c r="D37" s="660"/>
      <c r="E37" s="27">
        <v>25.98</v>
      </c>
      <c r="F37" s="217">
        <v>3629</v>
      </c>
      <c r="G37" s="216">
        <f t="shared" si="27"/>
        <v>94281.42</v>
      </c>
      <c r="H37" s="31"/>
      <c r="I37" s="219">
        <v>20</v>
      </c>
      <c r="J37" s="29">
        <v>2400</v>
      </c>
      <c r="K37" s="12">
        <f t="shared" si="1"/>
        <v>120</v>
      </c>
      <c r="L37" s="219">
        <v>20</v>
      </c>
      <c r="M37" s="13">
        <f t="shared" si="28"/>
        <v>2292</v>
      </c>
      <c r="N37" s="12">
        <f t="shared" si="3"/>
        <v>114.6</v>
      </c>
      <c r="O37" s="14">
        <f t="shared" si="4"/>
        <v>0</v>
      </c>
      <c r="P37" s="15">
        <f t="shared" si="5"/>
        <v>-5.4000000000000057</v>
      </c>
      <c r="Q37" s="222">
        <f t="shared" si="6"/>
        <v>0.95499999999999996</v>
      </c>
      <c r="R37" s="616"/>
      <c r="S37" s="32">
        <v>0.28541666666666665</v>
      </c>
      <c r="T37" s="32">
        <v>0.35138888888888886</v>
      </c>
      <c r="U37" s="216">
        <f t="shared" si="30"/>
        <v>7.9999999999999716</v>
      </c>
      <c r="V37" s="218">
        <f t="shared" si="29"/>
        <v>94.999999999999986</v>
      </c>
      <c r="W37" s="216"/>
      <c r="X37" s="216"/>
      <c r="Y37" s="216"/>
      <c r="Z37" s="216"/>
      <c r="AA37" s="612"/>
      <c r="AB37" s="612"/>
      <c r="AC37" s="136"/>
      <c r="AD37" s="18"/>
      <c r="AE37" s="14">
        <f t="shared" si="8"/>
        <v>-108</v>
      </c>
      <c r="AF37" s="222">
        <f t="shared" si="9"/>
        <v>0.95499999999999996</v>
      </c>
      <c r="AG37" s="616"/>
    </row>
    <row r="38" spans="1:33">
      <c r="A38" s="630" t="s">
        <v>282</v>
      </c>
      <c r="B38" s="27" t="s">
        <v>20</v>
      </c>
      <c r="C38" s="660" t="s">
        <v>26</v>
      </c>
      <c r="D38" s="660"/>
      <c r="E38" s="27">
        <v>34.1</v>
      </c>
      <c r="F38" s="217">
        <v>4821</v>
      </c>
      <c r="G38" s="216">
        <f t="shared" si="27"/>
        <v>164396.1</v>
      </c>
      <c r="H38" s="31"/>
      <c r="I38" s="219">
        <v>17</v>
      </c>
      <c r="J38" s="29">
        <v>1600</v>
      </c>
      <c r="K38" s="12">
        <f t="shared" si="1"/>
        <v>94.117647058823536</v>
      </c>
      <c r="L38" s="219">
        <v>17</v>
      </c>
      <c r="M38" s="13">
        <f t="shared" si="28"/>
        <v>1530.4761904761908</v>
      </c>
      <c r="N38" s="12">
        <f t="shared" si="3"/>
        <v>90.028011204481814</v>
      </c>
      <c r="O38" s="14">
        <f t="shared" si="4"/>
        <v>0</v>
      </c>
      <c r="P38" s="15">
        <f t="shared" si="5"/>
        <v>-4.0896358543417222</v>
      </c>
      <c r="Q38" s="222">
        <f t="shared" si="6"/>
        <v>0.9565476190476192</v>
      </c>
      <c r="R38" s="616"/>
      <c r="S38" s="32">
        <v>0.3569444444444444</v>
      </c>
      <c r="T38" s="32">
        <v>0.48819444444444438</v>
      </c>
      <c r="U38" s="216">
        <f t="shared" si="30"/>
        <v>7.9999999999999716</v>
      </c>
      <c r="V38" s="218">
        <f t="shared" si="29"/>
        <v>188.99999999999997</v>
      </c>
      <c r="W38" s="16"/>
      <c r="X38" s="16"/>
      <c r="Y38" s="16"/>
      <c r="Z38" s="16"/>
      <c r="AA38" s="612"/>
      <c r="AB38" s="612"/>
      <c r="AC38" s="136"/>
      <c r="AD38" s="18"/>
      <c r="AE38" s="14">
        <f t="shared" si="8"/>
        <v>-69.523809523809177</v>
      </c>
      <c r="AF38" s="222">
        <f t="shared" si="9"/>
        <v>0.95654761904761931</v>
      </c>
      <c r="AG38" s="616"/>
    </row>
    <row r="39" spans="1:33">
      <c r="A39" s="630" t="s">
        <v>282</v>
      </c>
      <c r="B39" s="27" t="s">
        <v>20</v>
      </c>
      <c r="C39" s="660" t="s">
        <v>59</v>
      </c>
      <c r="D39" s="660"/>
      <c r="E39" s="27">
        <v>25.99</v>
      </c>
      <c r="F39" s="217">
        <v>1034</v>
      </c>
      <c r="G39" s="216">
        <f t="shared" si="27"/>
        <v>26873.66</v>
      </c>
      <c r="H39" s="31"/>
      <c r="I39" s="219">
        <v>18</v>
      </c>
      <c r="J39" s="29">
        <v>2400</v>
      </c>
      <c r="K39" s="12">
        <f t="shared" si="1"/>
        <v>133.33333333333334</v>
      </c>
      <c r="L39" s="219">
        <v>18</v>
      </c>
      <c r="M39" s="13">
        <f t="shared" si="28"/>
        <v>2297.7777777777724</v>
      </c>
      <c r="N39" s="12">
        <f t="shared" si="3"/>
        <v>127.65432098765402</v>
      </c>
      <c r="O39" s="14">
        <f t="shared" si="4"/>
        <v>0</v>
      </c>
      <c r="P39" s="15">
        <f t="shared" si="5"/>
        <v>-5.6790123456793253</v>
      </c>
      <c r="Q39" s="222">
        <f t="shared" si="6"/>
        <v>0.95740740740740504</v>
      </c>
      <c r="R39" s="616"/>
      <c r="S39" s="32">
        <v>0.49305555555555547</v>
      </c>
      <c r="T39" s="32">
        <v>0.51180555555555551</v>
      </c>
      <c r="U39" s="216">
        <f t="shared" si="30"/>
        <v>6.9999999999999751</v>
      </c>
      <c r="V39" s="218">
        <f t="shared" si="29"/>
        <v>27.000000000000064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-102.22222222222763</v>
      </c>
      <c r="AF39" s="222">
        <f t="shared" si="9"/>
        <v>0.95740740740740515</v>
      </c>
      <c r="AG39" s="616"/>
    </row>
    <row r="40" spans="1:33">
      <c r="A40" s="630" t="s">
        <v>282</v>
      </c>
      <c r="B40" s="28" t="s">
        <v>186</v>
      </c>
      <c r="C40" s="658"/>
      <c r="D40" s="658"/>
      <c r="E40" s="220"/>
      <c r="F40" s="28"/>
      <c r="G40" s="12"/>
      <c r="H40" s="217"/>
      <c r="I40" s="21">
        <v>17.8</v>
      </c>
      <c r="J40" s="29">
        <v>2240</v>
      </c>
      <c r="K40" s="12">
        <f t="shared" si="1"/>
        <v>125.84269662921348</v>
      </c>
      <c r="L40" s="21">
        <v>17.8</v>
      </c>
      <c r="M40" s="13">
        <f>AVERAGE(M35:M39)</f>
        <v>2139.227264239028</v>
      </c>
      <c r="N40" s="12">
        <f t="shared" si="3"/>
        <v>120.18130697972067</v>
      </c>
      <c r="O40" s="14">
        <f t="shared" si="4"/>
        <v>0</v>
      </c>
      <c r="P40" s="15">
        <f t="shared" si="5"/>
        <v>-5.6613896494928042</v>
      </c>
      <c r="Q40" s="222">
        <f t="shared" si="6"/>
        <v>0.9550121715352804</v>
      </c>
      <c r="R40" s="616"/>
      <c r="S40" s="32"/>
      <c r="T40" s="32"/>
      <c r="U40" s="12"/>
      <c r="V40" s="218"/>
      <c r="W40" s="12"/>
      <c r="X40" s="12"/>
      <c r="Y40" s="22">
        <f>SUM(Y35:Y39)</f>
        <v>0</v>
      </c>
      <c r="Z40" s="22">
        <f>SUM(Z35:Z39)</f>
        <v>0</v>
      </c>
      <c r="AA40" s="611"/>
      <c r="AB40" s="611"/>
      <c r="AC40" s="22">
        <v>5</v>
      </c>
      <c r="AD40" s="22">
        <f>SUM(AD35:AD39)</f>
        <v>0</v>
      </c>
      <c r="AE40" s="14">
        <f t="shared" si="8"/>
        <v>-100.77273576097195</v>
      </c>
      <c r="AF40" s="222">
        <f t="shared" si="9"/>
        <v>0.9550121715352804</v>
      </c>
      <c r="AG40" s="616"/>
    </row>
    <row r="41" spans="1:33" ht="15.75" customHeight="1">
      <c r="A41" s="623" t="s">
        <v>75</v>
      </c>
      <c r="B41" s="27" t="s">
        <v>27</v>
      </c>
      <c r="C41" s="605" t="s">
        <v>33</v>
      </c>
      <c r="D41" s="606"/>
      <c r="E41" s="27">
        <v>34.36</v>
      </c>
      <c r="F41" s="217">
        <v>1675</v>
      </c>
      <c r="G41" s="216">
        <f t="shared" ref="G41:G44" si="31">E41*F41</f>
        <v>57553</v>
      </c>
      <c r="H41" s="31"/>
      <c r="I41" s="219">
        <v>10</v>
      </c>
      <c r="J41" s="29">
        <v>3000</v>
      </c>
      <c r="K41" s="12">
        <f t="shared" si="1"/>
        <v>300</v>
      </c>
      <c r="L41" s="219">
        <v>10</v>
      </c>
      <c r="M41" s="13">
        <f t="shared" ref="M41:M44" si="32">F41/V41*60</f>
        <v>2871.428571428572</v>
      </c>
      <c r="N41" s="13">
        <f t="shared" si="3"/>
        <v>287.14285714285722</v>
      </c>
      <c r="O41" s="14">
        <f t="shared" si="4"/>
        <v>0</v>
      </c>
      <c r="P41" s="15">
        <f t="shared" si="5"/>
        <v>-12.857142857142776</v>
      </c>
      <c r="Q41" s="222">
        <f t="shared" si="6"/>
        <v>0.95714285714285741</v>
      </c>
      <c r="R41" s="626">
        <f>Q45</f>
        <v>0.95606442787009882</v>
      </c>
      <c r="S41" s="32">
        <v>0.20833333333333334</v>
      </c>
      <c r="T41" s="32">
        <v>0.2326388888888889</v>
      </c>
      <c r="U41" s="20"/>
      <c r="V41" s="218">
        <f t="shared" ref="V41:V44" si="33">(T41-S41)*24*60</f>
        <v>34.999999999999993</v>
      </c>
      <c r="W41" s="16"/>
      <c r="X41" s="16"/>
      <c r="Y41" s="19"/>
      <c r="Z41" s="19"/>
      <c r="AA41" s="607"/>
      <c r="AB41" s="608"/>
      <c r="AC41" s="136">
        <v>4</v>
      </c>
      <c r="AD41" s="18"/>
      <c r="AE41" s="14">
        <f t="shared" si="8"/>
        <v>-128.57142857142799</v>
      </c>
      <c r="AF41" s="222">
        <f t="shared" si="9"/>
        <v>0.9571428571428573</v>
      </c>
      <c r="AG41" s="626">
        <f>AF45</f>
        <v>0.95606442787009871</v>
      </c>
    </row>
    <row r="42" spans="1:33" ht="15.75" customHeight="1">
      <c r="A42" s="624" t="s">
        <v>75</v>
      </c>
      <c r="B42" s="27" t="s">
        <v>27</v>
      </c>
      <c r="C42" s="605" t="s">
        <v>29</v>
      </c>
      <c r="D42" s="606"/>
      <c r="E42" s="27">
        <v>21.13</v>
      </c>
      <c r="F42" s="217">
        <v>4142</v>
      </c>
      <c r="G42" s="216">
        <f t="shared" si="31"/>
        <v>87520.459999999992</v>
      </c>
      <c r="H42" s="31"/>
      <c r="I42" s="219">
        <v>10</v>
      </c>
      <c r="J42" s="29">
        <v>3000</v>
      </c>
      <c r="K42" s="12">
        <f t="shared" si="1"/>
        <v>300</v>
      </c>
      <c r="L42" s="219">
        <v>10</v>
      </c>
      <c r="M42" s="13">
        <f t="shared" si="32"/>
        <v>2856.5517241379321</v>
      </c>
      <c r="N42" s="13">
        <f t="shared" si="3"/>
        <v>285.6551724137932</v>
      </c>
      <c r="O42" s="14">
        <f t="shared" si="4"/>
        <v>0</v>
      </c>
      <c r="P42" s="15">
        <f t="shared" si="5"/>
        <v>-14.344827586206804</v>
      </c>
      <c r="Q42" s="222">
        <f t="shared" si="6"/>
        <v>0.9521839080459773</v>
      </c>
      <c r="R42" s="627"/>
      <c r="S42" s="32">
        <v>0.23680555555555557</v>
      </c>
      <c r="T42" s="32">
        <v>0.29722222222222222</v>
      </c>
      <c r="U42" s="216">
        <f t="shared" ref="U42:U44" si="34">(S42-T41)*24*60</f>
        <v>6.0000000000000187</v>
      </c>
      <c r="V42" s="218">
        <f t="shared" si="33"/>
        <v>86.999999999999972</v>
      </c>
      <c r="W42" s="16"/>
      <c r="X42" s="16"/>
      <c r="Y42" s="19"/>
      <c r="Z42" s="19"/>
      <c r="AA42" s="607"/>
      <c r="AB42" s="608"/>
      <c r="AC42" s="136"/>
      <c r="AD42" s="18"/>
      <c r="AE42" s="14">
        <f t="shared" si="8"/>
        <v>-143.44827586206793</v>
      </c>
      <c r="AF42" s="222">
        <f t="shared" si="9"/>
        <v>0.95218390804597741</v>
      </c>
      <c r="AG42" s="627"/>
    </row>
    <row r="43" spans="1:33" ht="15.75" customHeight="1">
      <c r="A43" s="624" t="s">
        <v>75</v>
      </c>
      <c r="B43" s="27" t="s">
        <v>27</v>
      </c>
      <c r="C43" s="605" t="s">
        <v>30</v>
      </c>
      <c r="D43" s="606"/>
      <c r="E43" s="27">
        <v>27.17</v>
      </c>
      <c r="F43" s="217">
        <v>4064</v>
      </c>
      <c r="G43" s="216">
        <f t="shared" si="31"/>
        <v>110418.88</v>
      </c>
      <c r="H43" s="31"/>
      <c r="I43" s="219">
        <v>10</v>
      </c>
      <c r="J43" s="29">
        <v>3000</v>
      </c>
      <c r="K43" s="12">
        <f t="shared" si="1"/>
        <v>300</v>
      </c>
      <c r="L43" s="219">
        <v>10</v>
      </c>
      <c r="M43" s="13">
        <f t="shared" si="32"/>
        <v>2868.705882352941</v>
      </c>
      <c r="N43" s="13">
        <f t="shared" si="3"/>
        <v>286.87058823529412</v>
      </c>
      <c r="O43" s="14">
        <f t="shared" si="4"/>
        <v>0</v>
      </c>
      <c r="P43" s="15">
        <f t="shared" si="5"/>
        <v>-13.129411764705878</v>
      </c>
      <c r="Q43" s="222">
        <f t="shared" si="6"/>
        <v>0.95623529411764707</v>
      </c>
      <c r="R43" s="627"/>
      <c r="S43" s="32">
        <v>0.30277777777777776</v>
      </c>
      <c r="T43" s="32">
        <v>0.36180555555555555</v>
      </c>
      <c r="U43" s="216">
        <f t="shared" si="34"/>
        <v>7.9999999999999716</v>
      </c>
      <c r="V43" s="218">
        <f t="shared" si="33"/>
        <v>85.000000000000014</v>
      </c>
      <c r="W43" s="16"/>
      <c r="X43" s="16"/>
      <c r="Y43" s="19"/>
      <c r="Z43" s="19"/>
      <c r="AA43" s="607"/>
      <c r="AB43" s="608"/>
      <c r="AC43" s="136"/>
      <c r="AD43" s="18"/>
      <c r="AE43" s="14">
        <f t="shared" si="8"/>
        <v>-131.29411764705901</v>
      </c>
      <c r="AF43" s="222">
        <f t="shared" si="9"/>
        <v>0.95623529411764696</v>
      </c>
      <c r="AG43" s="627"/>
    </row>
    <row r="44" spans="1:33" ht="15.75" customHeight="1">
      <c r="A44" s="624" t="s">
        <v>75</v>
      </c>
      <c r="B44" s="27" t="s">
        <v>27</v>
      </c>
      <c r="C44" s="605" t="s">
        <v>35</v>
      </c>
      <c r="D44" s="606"/>
      <c r="E44" s="27">
        <v>35.869999999999997</v>
      </c>
      <c r="F44" s="217">
        <v>2205</v>
      </c>
      <c r="G44" s="216">
        <f t="shared" si="31"/>
        <v>79093.349999999991</v>
      </c>
      <c r="H44" s="31"/>
      <c r="I44" s="219">
        <v>9</v>
      </c>
      <c r="J44" s="29">
        <v>3000</v>
      </c>
      <c r="K44" s="12">
        <f t="shared" si="1"/>
        <v>333.33333333333331</v>
      </c>
      <c r="L44" s="219">
        <v>9</v>
      </c>
      <c r="M44" s="13">
        <f t="shared" si="32"/>
        <v>2876.086956521739</v>
      </c>
      <c r="N44" s="13">
        <f t="shared" si="3"/>
        <v>319.56521739130432</v>
      </c>
      <c r="O44" s="14">
        <f t="shared" si="4"/>
        <v>0</v>
      </c>
      <c r="P44" s="15">
        <f t="shared" si="5"/>
        <v>-13.768115942028999</v>
      </c>
      <c r="Q44" s="222">
        <f t="shared" si="6"/>
        <v>0.95869565217391295</v>
      </c>
      <c r="R44" s="627"/>
      <c r="S44" s="32">
        <v>0.3659722222222222</v>
      </c>
      <c r="T44" s="32">
        <v>0.39791666666666664</v>
      </c>
      <c r="U44" s="216">
        <f t="shared" si="34"/>
        <v>5.9999999999999787</v>
      </c>
      <c r="V44" s="218">
        <f t="shared" si="33"/>
        <v>46</v>
      </c>
      <c r="W44" s="16"/>
      <c r="X44" s="16"/>
      <c r="Y44" s="19"/>
      <c r="Z44" s="19"/>
      <c r="AA44" s="607"/>
      <c r="AB44" s="608"/>
      <c r="AC44" s="136"/>
      <c r="AD44" s="18"/>
      <c r="AE44" s="14">
        <f t="shared" si="8"/>
        <v>-123.91304347826099</v>
      </c>
      <c r="AF44" s="222">
        <f t="shared" si="9"/>
        <v>0.95869565217391295</v>
      </c>
      <c r="AG44" s="627"/>
    </row>
    <row r="45" spans="1:33" ht="15.75" customHeight="1">
      <c r="A45" s="625" t="s">
        <v>75</v>
      </c>
      <c r="B45" s="27" t="s">
        <v>186</v>
      </c>
      <c r="C45" s="609"/>
      <c r="D45" s="610"/>
      <c r="E45" s="227"/>
      <c r="F45" s="217"/>
      <c r="G45" s="216"/>
      <c r="H45" s="217"/>
      <c r="I45" s="21">
        <v>9.75</v>
      </c>
      <c r="J45" s="29">
        <v>3000</v>
      </c>
      <c r="K45" s="12">
        <f t="shared" si="1"/>
        <v>307.69230769230768</v>
      </c>
      <c r="L45" s="21">
        <v>9.75</v>
      </c>
      <c r="M45" s="13">
        <f>AVERAGE(M41:M44)</f>
        <v>2868.193283610296</v>
      </c>
      <c r="N45" s="12">
        <f t="shared" si="3"/>
        <v>294.17367011387654</v>
      </c>
      <c r="O45" s="14">
        <f t="shared" si="4"/>
        <v>0</v>
      </c>
      <c r="P45" s="15">
        <f t="shared" si="5"/>
        <v>-13.518637578431139</v>
      </c>
      <c r="Q45" s="222">
        <f t="shared" si="6"/>
        <v>0.95606442787009882</v>
      </c>
      <c r="R45" s="628"/>
      <c r="S45" s="32"/>
      <c r="T45" s="32"/>
      <c r="U45" s="216"/>
      <c r="V45" s="218"/>
      <c r="W45" s="16"/>
      <c r="X45" s="16"/>
      <c r="Y45" s="22">
        <f>SUM(Y41:Y44)</f>
        <v>0</v>
      </c>
      <c r="Z45" s="22">
        <f>SUM(Z41:Z44)</f>
        <v>0</v>
      </c>
      <c r="AA45" s="619"/>
      <c r="AB45" s="620"/>
      <c r="AC45" s="22">
        <v>4</v>
      </c>
      <c r="AD45" s="22">
        <f>SUM(AD41:AD44)</f>
        <v>0</v>
      </c>
      <c r="AE45" s="14">
        <f t="shared" si="8"/>
        <v>-131.80671638970398</v>
      </c>
      <c r="AF45" s="222">
        <f t="shared" si="9"/>
        <v>0.95606442787009871</v>
      </c>
      <c r="AG45" s="628"/>
    </row>
    <row r="46" spans="1:33" ht="15.75" customHeight="1">
      <c r="A46" s="621" t="s">
        <v>71</v>
      </c>
      <c r="B46" s="27" t="s">
        <v>5</v>
      </c>
      <c r="C46" s="660" t="s">
        <v>15</v>
      </c>
      <c r="D46" s="660"/>
      <c r="E46" s="27">
        <v>59.04</v>
      </c>
      <c r="F46" s="30">
        <v>1631</v>
      </c>
      <c r="G46" s="216">
        <f t="shared" ref="G46:G51" si="35">E46*F46</f>
        <v>96294.24</v>
      </c>
      <c r="H46" s="31"/>
      <c r="I46" s="219">
        <v>19</v>
      </c>
      <c r="J46" s="29">
        <v>2000</v>
      </c>
      <c r="K46" s="12">
        <f t="shared" si="1"/>
        <v>105.26315789473684</v>
      </c>
      <c r="L46" s="219">
        <v>19</v>
      </c>
      <c r="M46" s="13">
        <f t="shared" ref="M46" si="36">F46/V46*60</f>
        <v>1918.823529411764</v>
      </c>
      <c r="N46" s="13">
        <f t="shared" si="3"/>
        <v>100.99071207430336</v>
      </c>
      <c r="O46" s="14">
        <f t="shared" si="4"/>
        <v>0</v>
      </c>
      <c r="P46" s="15">
        <f t="shared" si="5"/>
        <v>-4.2724458204334752</v>
      </c>
      <c r="Q46" s="222">
        <f t="shared" si="6"/>
        <v>0.95941176470588196</v>
      </c>
      <c r="R46" s="616">
        <f>Q52</f>
        <v>0.96531057067995418</v>
      </c>
      <c r="S46" s="32">
        <v>0.20833333333333334</v>
      </c>
      <c r="T46" s="32">
        <v>0.24375000000000002</v>
      </c>
      <c r="U46" s="20"/>
      <c r="V46" s="218">
        <f t="shared" ref="V46:V51" si="37">(T46-S46)*24*60</f>
        <v>51.000000000000021</v>
      </c>
      <c r="W46" s="16"/>
      <c r="X46" s="16"/>
      <c r="Y46" s="20"/>
      <c r="Z46" s="20"/>
      <c r="AA46" s="612"/>
      <c r="AB46" s="612"/>
      <c r="AC46" s="136">
        <v>6</v>
      </c>
      <c r="AD46" s="18"/>
      <c r="AE46" s="14">
        <f t="shared" si="8"/>
        <v>-81.176470588236043</v>
      </c>
      <c r="AF46" s="222">
        <f t="shared" si="9"/>
        <v>0.95941176470588196</v>
      </c>
      <c r="AG46" s="616">
        <f>AF52</f>
        <v>0.96531057067995418</v>
      </c>
    </row>
    <row r="47" spans="1:33" ht="15.75" customHeight="1">
      <c r="A47" s="621" t="s">
        <v>71</v>
      </c>
      <c r="B47" s="27" t="s">
        <v>5</v>
      </c>
      <c r="C47" s="660" t="s">
        <v>31</v>
      </c>
      <c r="D47" s="660"/>
      <c r="E47" s="27">
        <v>56.43</v>
      </c>
      <c r="F47" s="30">
        <v>1035</v>
      </c>
      <c r="G47" s="216">
        <f t="shared" si="35"/>
        <v>58405.05</v>
      </c>
      <c r="H47" s="31"/>
      <c r="I47" s="219">
        <v>22</v>
      </c>
      <c r="J47" s="29">
        <v>2000</v>
      </c>
      <c r="K47" s="12">
        <f t="shared" si="1"/>
        <v>90.909090909090907</v>
      </c>
      <c r="L47" s="219">
        <v>22</v>
      </c>
      <c r="M47" s="13">
        <f>F47/V47*60</f>
        <v>1940.6249999999995</v>
      </c>
      <c r="N47" s="13">
        <f t="shared" si="3"/>
        <v>88.210227272727252</v>
      </c>
      <c r="O47" s="14">
        <f t="shared" si="4"/>
        <v>0</v>
      </c>
      <c r="P47" s="15">
        <f t="shared" si="5"/>
        <v>-2.6988636363636545</v>
      </c>
      <c r="Q47" s="222">
        <f t="shared" si="6"/>
        <v>0.9703124999999998</v>
      </c>
      <c r="R47" s="616"/>
      <c r="S47" s="32">
        <v>0.24930555555555559</v>
      </c>
      <c r="T47" s="32">
        <v>0.27152777777777781</v>
      </c>
      <c r="U47" s="216">
        <f t="shared" ref="U47:U51" si="38">IF(S47=TIME(17,0,0),"",(S47-T46)*24*60)</f>
        <v>8.0000000000000107</v>
      </c>
      <c r="V47" s="218">
        <f t="shared" si="37"/>
        <v>32.000000000000007</v>
      </c>
      <c r="W47" s="16"/>
      <c r="X47" s="16"/>
      <c r="Y47" s="16"/>
      <c r="Z47" s="16"/>
      <c r="AA47" s="612"/>
      <c r="AB47" s="612"/>
      <c r="AC47" s="136"/>
      <c r="AD47" s="18"/>
      <c r="AE47" s="14">
        <f t="shared" si="8"/>
        <v>-59.375000000000455</v>
      </c>
      <c r="AF47" s="222">
        <f t="shared" si="9"/>
        <v>0.9703124999999998</v>
      </c>
      <c r="AG47" s="616"/>
    </row>
    <row r="48" spans="1:33" ht="15.75" customHeight="1">
      <c r="A48" s="621" t="s">
        <v>71</v>
      </c>
      <c r="B48" s="27" t="s">
        <v>8</v>
      </c>
      <c r="C48" s="605" t="s">
        <v>61</v>
      </c>
      <c r="D48" s="606"/>
      <c r="E48" s="27">
        <v>46</v>
      </c>
      <c r="F48" s="30">
        <v>1963</v>
      </c>
      <c r="G48" s="216">
        <f t="shared" si="35"/>
        <v>90298</v>
      </c>
      <c r="H48" s="31"/>
      <c r="I48" s="219">
        <v>16</v>
      </c>
      <c r="J48" s="29">
        <v>2000</v>
      </c>
      <c r="K48" s="12">
        <f t="shared" si="1"/>
        <v>125</v>
      </c>
      <c r="L48" s="219">
        <v>16</v>
      </c>
      <c r="M48" s="13">
        <f t="shared" ref="M48:M51" si="39">F48/V48*60</f>
        <v>1930.8196721311467</v>
      </c>
      <c r="N48" s="13">
        <f t="shared" si="3"/>
        <v>120.67622950819667</v>
      </c>
      <c r="O48" s="14">
        <f t="shared" si="4"/>
        <v>0</v>
      </c>
      <c r="P48" s="15">
        <f t="shared" si="5"/>
        <v>-4.3237704918033302</v>
      </c>
      <c r="Q48" s="222">
        <f t="shared" si="6"/>
        <v>0.9654098360655734</v>
      </c>
      <c r="R48" s="616"/>
      <c r="S48" s="32">
        <v>0.27638888888888891</v>
      </c>
      <c r="T48" s="32">
        <v>0.31875000000000003</v>
      </c>
      <c r="U48" s="216">
        <f t="shared" si="38"/>
        <v>6.9999999999999751</v>
      </c>
      <c r="V48" s="218">
        <f t="shared" si="37"/>
        <v>61.000000000000021</v>
      </c>
      <c r="W48" s="16"/>
      <c r="X48" s="16"/>
      <c r="Y48" s="19"/>
      <c r="Z48" s="19"/>
      <c r="AA48" s="612"/>
      <c r="AB48" s="612"/>
      <c r="AC48" s="136"/>
      <c r="AD48" s="18"/>
      <c r="AE48" s="14">
        <f t="shared" si="8"/>
        <v>-69.180327868853283</v>
      </c>
      <c r="AF48" s="222">
        <f t="shared" si="9"/>
        <v>0.9654098360655734</v>
      </c>
      <c r="AG48" s="616"/>
    </row>
    <row r="49" spans="1:33" ht="15.75" customHeight="1">
      <c r="A49" s="621" t="s">
        <v>71</v>
      </c>
      <c r="B49" s="27" t="s">
        <v>8</v>
      </c>
      <c r="C49" s="225" t="s">
        <v>79</v>
      </c>
      <c r="D49" s="226"/>
      <c r="E49" s="27">
        <v>46</v>
      </c>
      <c r="F49" s="30">
        <v>2440</v>
      </c>
      <c r="G49" s="216">
        <f t="shared" si="35"/>
        <v>112240</v>
      </c>
      <c r="H49" s="31"/>
      <c r="I49" s="219">
        <v>17</v>
      </c>
      <c r="J49" s="29">
        <v>2000</v>
      </c>
      <c r="K49" s="12">
        <f t="shared" si="1"/>
        <v>117.64705882352941</v>
      </c>
      <c r="L49" s="219">
        <v>17</v>
      </c>
      <c r="M49" s="13">
        <f t="shared" si="39"/>
        <v>1926.3157894736848</v>
      </c>
      <c r="N49" s="13">
        <f t="shared" si="3"/>
        <v>113.31269349845205</v>
      </c>
      <c r="O49" s="14">
        <f t="shared" si="4"/>
        <v>0</v>
      </c>
      <c r="P49" s="15">
        <f t="shared" si="5"/>
        <v>-4.3343653250773571</v>
      </c>
      <c r="Q49" s="222">
        <f t="shared" si="6"/>
        <v>0.96315789473684243</v>
      </c>
      <c r="R49" s="616"/>
      <c r="S49" s="32">
        <v>0.32291666666666669</v>
      </c>
      <c r="T49" s="32">
        <v>0.37569444444444444</v>
      </c>
      <c r="U49" s="216">
        <f t="shared" si="38"/>
        <v>5.9999999999999787</v>
      </c>
      <c r="V49" s="218">
        <f t="shared" si="37"/>
        <v>75.999999999999972</v>
      </c>
      <c r="W49" s="16"/>
      <c r="X49" s="16"/>
      <c r="Y49" s="19"/>
      <c r="Z49" s="19"/>
      <c r="AA49" s="612"/>
      <c r="AB49" s="612"/>
      <c r="AC49" s="136"/>
      <c r="AD49" s="18"/>
      <c r="AE49" s="14">
        <f t="shared" si="8"/>
        <v>-73.684210526315155</v>
      </c>
      <c r="AF49" s="222">
        <f t="shared" si="9"/>
        <v>0.96315789473684243</v>
      </c>
      <c r="AG49" s="616"/>
    </row>
    <row r="50" spans="1:33" ht="15.75" customHeight="1">
      <c r="A50" s="621" t="s">
        <v>71</v>
      </c>
      <c r="B50" s="27" t="s">
        <v>5</v>
      </c>
      <c r="C50" s="225" t="s">
        <v>77</v>
      </c>
      <c r="D50" s="226"/>
      <c r="E50" s="27">
        <v>54.09</v>
      </c>
      <c r="F50" s="30">
        <v>1125</v>
      </c>
      <c r="G50" s="216">
        <f t="shared" si="35"/>
        <v>60851.250000000007</v>
      </c>
      <c r="H50" s="31"/>
      <c r="I50" s="219">
        <v>13</v>
      </c>
      <c r="J50" s="29">
        <v>2000</v>
      </c>
      <c r="K50" s="12">
        <f t="shared" si="1"/>
        <v>153.84615384615384</v>
      </c>
      <c r="L50" s="219">
        <v>13</v>
      </c>
      <c r="M50" s="13">
        <f t="shared" si="39"/>
        <v>1928.5714285714266</v>
      </c>
      <c r="N50" s="13">
        <f t="shared" si="3"/>
        <v>148.35164835164821</v>
      </c>
      <c r="O50" s="14">
        <f t="shared" si="4"/>
        <v>0</v>
      </c>
      <c r="P50" s="15">
        <f t="shared" si="5"/>
        <v>-5.4945054945056313</v>
      </c>
      <c r="Q50" s="222">
        <f t="shared" si="6"/>
        <v>0.96428571428571341</v>
      </c>
      <c r="R50" s="616"/>
      <c r="S50" s="32">
        <v>0.70833333333333337</v>
      </c>
      <c r="T50" s="32">
        <v>0.73263888888888895</v>
      </c>
      <c r="U50" s="216" t="str">
        <f t="shared" si="38"/>
        <v/>
      </c>
      <c r="V50" s="218">
        <f t="shared" si="37"/>
        <v>35.000000000000036</v>
      </c>
      <c r="W50" s="16"/>
      <c r="X50" s="16"/>
      <c r="Y50" s="19"/>
      <c r="Z50" s="19"/>
      <c r="AA50" s="612"/>
      <c r="AB50" s="612"/>
      <c r="AC50" s="136"/>
      <c r="AD50" s="18"/>
      <c r="AE50" s="14">
        <f t="shared" si="8"/>
        <v>-71.428571428573377</v>
      </c>
      <c r="AF50" s="222">
        <f t="shared" si="9"/>
        <v>0.9642857142857133</v>
      </c>
      <c r="AG50" s="616"/>
    </row>
    <row r="51" spans="1:33" ht="15.75" customHeight="1">
      <c r="A51" s="621" t="s">
        <v>71</v>
      </c>
      <c r="B51" s="27" t="s">
        <v>5</v>
      </c>
      <c r="C51" s="605" t="s">
        <v>65</v>
      </c>
      <c r="D51" s="606"/>
      <c r="E51" s="27">
        <v>56.43</v>
      </c>
      <c r="F51" s="30">
        <v>1357</v>
      </c>
      <c r="G51" s="216">
        <f t="shared" si="35"/>
        <v>76575.509999999995</v>
      </c>
      <c r="H51" s="31"/>
      <c r="I51" s="219">
        <v>13</v>
      </c>
      <c r="J51" s="29">
        <v>2000</v>
      </c>
      <c r="K51" s="12">
        <f t="shared" si="1"/>
        <v>153.84615384615384</v>
      </c>
      <c r="L51" s="219">
        <v>13</v>
      </c>
      <c r="M51" s="13">
        <f t="shared" si="39"/>
        <v>1938.5714285714278</v>
      </c>
      <c r="N51" s="13">
        <f t="shared" si="3"/>
        <v>149.12087912087907</v>
      </c>
      <c r="O51" s="14">
        <f t="shared" si="4"/>
        <v>0</v>
      </c>
      <c r="P51" s="15">
        <f t="shared" si="5"/>
        <v>-4.7252747252747724</v>
      </c>
      <c r="Q51" s="222">
        <f t="shared" si="6"/>
        <v>0.96928571428571397</v>
      </c>
      <c r="R51" s="616"/>
      <c r="S51" s="32">
        <v>0.7368055555555556</v>
      </c>
      <c r="T51" s="32">
        <v>0.76597222222222228</v>
      </c>
      <c r="U51" s="216">
        <f t="shared" si="38"/>
        <v>5.9999999999999787</v>
      </c>
      <c r="V51" s="218">
        <f t="shared" si="37"/>
        <v>42.000000000000014</v>
      </c>
      <c r="W51" s="16"/>
      <c r="X51" s="16"/>
      <c r="Y51" s="19"/>
      <c r="Z51" s="19"/>
      <c r="AA51" s="607"/>
      <c r="AB51" s="608"/>
      <c r="AC51" s="136"/>
      <c r="AD51" s="18"/>
      <c r="AE51" s="14">
        <f t="shared" si="8"/>
        <v>-61.428571428572241</v>
      </c>
      <c r="AF51" s="222">
        <f t="shared" si="9"/>
        <v>0.96928571428571386</v>
      </c>
      <c r="AG51" s="616"/>
    </row>
    <row r="52" spans="1:33">
      <c r="A52" s="622" t="s">
        <v>71</v>
      </c>
      <c r="B52" s="27" t="s">
        <v>186</v>
      </c>
      <c r="C52" s="658"/>
      <c r="D52" s="658"/>
      <c r="E52" s="220"/>
      <c r="F52" s="28"/>
      <c r="G52" s="12"/>
      <c r="H52" s="217"/>
      <c r="I52" s="21">
        <v>16.666666666666668</v>
      </c>
      <c r="J52" s="29">
        <v>2000</v>
      </c>
      <c r="K52" s="12">
        <f t="shared" si="1"/>
        <v>119.99999999999999</v>
      </c>
      <c r="L52" s="21">
        <v>16.666666666666668</v>
      </c>
      <c r="M52" s="13">
        <f>AVERAGE(M46:M51)</f>
        <v>1930.6211413599083</v>
      </c>
      <c r="N52" s="12">
        <f t="shared" si="3"/>
        <v>115.83726848159449</v>
      </c>
      <c r="O52" s="14">
        <f t="shared" si="4"/>
        <v>0</v>
      </c>
      <c r="P52" s="15">
        <f t="shared" si="5"/>
        <v>-4.1627315184054936</v>
      </c>
      <c r="Q52" s="222">
        <f t="shared" si="6"/>
        <v>0.96531057067995418</v>
      </c>
      <c r="R52" s="616"/>
      <c r="S52" s="32"/>
      <c r="T52" s="32"/>
      <c r="U52" s="216"/>
      <c r="V52" s="218"/>
      <c r="W52" s="12"/>
      <c r="X52" s="12"/>
      <c r="Y52" s="22">
        <f>SUM(Y46:Y51)</f>
        <v>0</v>
      </c>
      <c r="Z52" s="22">
        <f>SUM(Z46:Z51)</f>
        <v>0</v>
      </c>
      <c r="AA52" s="611"/>
      <c r="AB52" s="611"/>
      <c r="AC52" s="22">
        <v>6</v>
      </c>
      <c r="AD52" s="22">
        <f>SUM(AD46:AD51)</f>
        <v>0</v>
      </c>
      <c r="AE52" s="14">
        <f>M52-J52</f>
        <v>-69.378858640091721</v>
      </c>
      <c r="AF52" s="222">
        <f t="shared" si="9"/>
        <v>0.96531057067995418</v>
      </c>
      <c r="AG52" s="616"/>
    </row>
    <row r="53" spans="1:33" ht="15.75" customHeight="1">
      <c r="A53" s="617" t="s">
        <v>187</v>
      </c>
      <c r="B53" s="217" t="s">
        <v>27</v>
      </c>
      <c r="C53" s="660" t="s">
        <v>28</v>
      </c>
      <c r="D53" s="660"/>
      <c r="E53" s="27">
        <v>35.119999999999997</v>
      </c>
      <c r="F53" s="30">
        <v>3525</v>
      </c>
      <c r="G53" s="216">
        <f t="shared" ref="G53:G56" si="40">E53*F53</f>
        <v>123797.99999999999</v>
      </c>
      <c r="H53" s="31"/>
      <c r="I53" s="219">
        <v>10</v>
      </c>
      <c r="J53" s="29">
        <v>3000</v>
      </c>
      <c r="K53" s="12">
        <f t="shared" si="1"/>
        <v>300</v>
      </c>
      <c r="L53" s="219">
        <v>10</v>
      </c>
      <c r="M53" s="13">
        <f t="shared" ref="M53:M56" si="41">F53/V53*60</f>
        <v>2858.1081081081074</v>
      </c>
      <c r="N53" s="12">
        <f t="shared" si="3"/>
        <v>285.81081081081072</v>
      </c>
      <c r="O53" s="14">
        <f t="shared" si="4"/>
        <v>0</v>
      </c>
      <c r="P53" s="15">
        <f t="shared" si="5"/>
        <v>-14.189189189189278</v>
      </c>
      <c r="Q53" s="222">
        <f t="shared" si="6"/>
        <v>0.95270270270270241</v>
      </c>
      <c r="R53" s="616">
        <f>Q57</f>
        <v>0.95561728690996961</v>
      </c>
      <c r="S53" s="32">
        <v>0.20833333333333334</v>
      </c>
      <c r="T53" s="32">
        <v>0.25972222222222224</v>
      </c>
      <c r="U53" s="216"/>
      <c r="V53" s="218">
        <f t="shared" ref="V53:V56" si="42">(T53-S53)*24*60</f>
        <v>74.000000000000014</v>
      </c>
      <c r="W53" s="16"/>
      <c r="X53" s="16"/>
      <c r="Y53" s="20"/>
      <c r="Z53" s="20"/>
      <c r="AA53" s="612"/>
      <c r="AB53" s="612"/>
      <c r="AC53" s="136">
        <v>4</v>
      </c>
      <c r="AD53" s="18"/>
      <c r="AE53" s="14">
        <f t="shared" ref="AE53:AE63" si="43">M53-J53</f>
        <v>-141.89189189189256</v>
      </c>
      <c r="AF53" s="222">
        <f t="shared" si="9"/>
        <v>0.95270270270270252</v>
      </c>
      <c r="AG53" s="616">
        <f>AF57</f>
        <v>0.95561728690996961</v>
      </c>
    </row>
    <row r="54" spans="1:33" ht="15.75" customHeight="1">
      <c r="A54" s="617" t="s">
        <v>187</v>
      </c>
      <c r="B54" s="217" t="s">
        <v>27</v>
      </c>
      <c r="C54" s="660" t="s">
        <v>34</v>
      </c>
      <c r="D54" s="660"/>
      <c r="E54" s="27">
        <v>26.78</v>
      </c>
      <c r="F54" s="30">
        <v>1971</v>
      </c>
      <c r="G54" s="216">
        <f t="shared" si="40"/>
        <v>52783.380000000005</v>
      </c>
      <c r="H54" s="31"/>
      <c r="I54" s="219">
        <v>10</v>
      </c>
      <c r="J54" s="29">
        <v>3000</v>
      </c>
      <c r="K54" s="12">
        <f t="shared" si="1"/>
        <v>300</v>
      </c>
      <c r="L54" s="219">
        <v>10</v>
      </c>
      <c r="M54" s="13">
        <f t="shared" si="41"/>
        <v>2884.3902439024382</v>
      </c>
      <c r="N54" s="12">
        <f t="shared" si="3"/>
        <v>288.43902439024384</v>
      </c>
      <c r="O54" s="14">
        <f t="shared" si="4"/>
        <v>0</v>
      </c>
      <c r="P54" s="15">
        <f t="shared" si="5"/>
        <v>-11.560975609756156</v>
      </c>
      <c r="Q54" s="222">
        <f t="shared" si="6"/>
        <v>0.9614634146341462</v>
      </c>
      <c r="R54" s="616"/>
      <c r="S54" s="32">
        <v>0.26458333333333334</v>
      </c>
      <c r="T54" s="32">
        <v>0.29305555555555557</v>
      </c>
      <c r="U54" s="216">
        <f t="shared" ref="U54:U56" si="44">(S54-T53)*24*60</f>
        <v>6.9999999999999751</v>
      </c>
      <c r="V54" s="218">
        <f t="shared" si="42"/>
        <v>41.000000000000014</v>
      </c>
      <c r="W54" s="216"/>
      <c r="X54" s="216"/>
      <c r="Y54" s="216"/>
      <c r="Z54" s="216"/>
      <c r="AA54" s="612"/>
      <c r="AB54" s="612"/>
      <c r="AC54" s="136"/>
      <c r="AD54" s="18"/>
      <c r="AE54" s="14">
        <f t="shared" si="43"/>
        <v>-115.60975609756179</v>
      </c>
      <c r="AF54" s="222">
        <f t="shared" si="9"/>
        <v>0.96146341463414609</v>
      </c>
      <c r="AG54" s="616"/>
    </row>
    <row r="55" spans="1:33" ht="15.75" customHeight="1">
      <c r="A55" s="617" t="s">
        <v>187</v>
      </c>
      <c r="B55" s="217" t="s">
        <v>27</v>
      </c>
      <c r="C55" s="660" t="s">
        <v>36</v>
      </c>
      <c r="D55" s="660"/>
      <c r="E55" s="27">
        <v>34.35</v>
      </c>
      <c r="F55" s="30">
        <v>1049</v>
      </c>
      <c r="G55" s="216">
        <f t="shared" si="40"/>
        <v>36033.15</v>
      </c>
      <c r="H55" s="31"/>
      <c r="I55" s="219">
        <v>8</v>
      </c>
      <c r="J55" s="29">
        <v>3000</v>
      </c>
      <c r="K55" s="12">
        <f t="shared" si="1"/>
        <v>375</v>
      </c>
      <c r="L55" s="219">
        <v>8</v>
      </c>
      <c r="M55" s="13">
        <f t="shared" si="41"/>
        <v>2860.909090909091</v>
      </c>
      <c r="N55" s="12">
        <f t="shared" si="3"/>
        <v>357.61363636363637</v>
      </c>
      <c r="O55" s="14">
        <f t="shared" si="4"/>
        <v>0</v>
      </c>
      <c r="P55" s="15">
        <f t="shared" si="5"/>
        <v>-17.386363636363626</v>
      </c>
      <c r="Q55" s="222">
        <f t="shared" si="6"/>
        <v>0.95363636363636362</v>
      </c>
      <c r="R55" s="616"/>
      <c r="S55" s="32">
        <v>0.29652777777777778</v>
      </c>
      <c r="T55" s="32">
        <v>0.31180555555555556</v>
      </c>
      <c r="U55" s="216">
        <f t="shared" si="44"/>
        <v>4.9999999999999822</v>
      </c>
      <c r="V55" s="218">
        <f t="shared" si="42"/>
        <v>22</v>
      </c>
      <c r="W55" s="216"/>
      <c r="X55" s="216"/>
      <c r="Y55" s="216"/>
      <c r="Z55" s="216"/>
      <c r="AA55" s="612"/>
      <c r="AB55" s="612"/>
      <c r="AC55" s="136"/>
      <c r="AD55" s="18"/>
      <c r="AE55" s="14">
        <f t="shared" si="43"/>
        <v>-139.09090909090901</v>
      </c>
      <c r="AF55" s="222">
        <f t="shared" si="9"/>
        <v>0.95363636363636362</v>
      </c>
      <c r="AG55" s="616"/>
    </row>
    <row r="56" spans="1:33" ht="15.75" customHeight="1">
      <c r="A56" s="617" t="s">
        <v>187</v>
      </c>
      <c r="B56" s="217" t="s">
        <v>27</v>
      </c>
      <c r="C56" s="660" t="s">
        <v>737</v>
      </c>
      <c r="D56" s="660"/>
      <c r="E56" s="27">
        <v>36.14</v>
      </c>
      <c r="F56" s="30">
        <v>2864</v>
      </c>
      <c r="G56" s="216">
        <f t="shared" si="40"/>
        <v>103504.96000000001</v>
      </c>
      <c r="H56" s="31"/>
      <c r="I56" s="219">
        <v>11</v>
      </c>
      <c r="J56" s="29">
        <v>3000</v>
      </c>
      <c r="K56" s="12">
        <f t="shared" si="1"/>
        <v>272.72727272727275</v>
      </c>
      <c r="L56" s="219">
        <v>11</v>
      </c>
      <c r="M56" s="13">
        <f t="shared" si="41"/>
        <v>2863.9999999999986</v>
      </c>
      <c r="N56" s="12">
        <f t="shared" si="3"/>
        <v>260.36363636363626</v>
      </c>
      <c r="O56" s="14">
        <f t="shared" si="4"/>
        <v>0</v>
      </c>
      <c r="P56" s="15">
        <f t="shared" si="5"/>
        <v>-12.363636363636488</v>
      </c>
      <c r="Q56" s="222">
        <f t="shared" si="6"/>
        <v>0.95466666666666622</v>
      </c>
      <c r="R56" s="616"/>
      <c r="S56" s="32">
        <v>0.31527777777777777</v>
      </c>
      <c r="T56" s="32">
        <v>0.35694444444444445</v>
      </c>
      <c r="U56" s="216">
        <f t="shared" si="44"/>
        <v>4.9999999999999822</v>
      </c>
      <c r="V56" s="218">
        <f t="shared" si="42"/>
        <v>60.000000000000028</v>
      </c>
      <c r="W56" s="216"/>
      <c r="X56" s="216"/>
      <c r="Y56" s="216"/>
      <c r="Z56" s="216"/>
      <c r="AA56" s="612"/>
      <c r="AB56" s="612"/>
      <c r="AC56" s="136"/>
      <c r="AD56" s="18"/>
      <c r="AE56" s="14">
        <f t="shared" si="43"/>
        <v>-136.00000000000136</v>
      </c>
      <c r="AF56" s="222">
        <f t="shared" si="9"/>
        <v>0.95466666666666622</v>
      </c>
      <c r="AG56" s="616"/>
    </row>
    <row r="57" spans="1:33">
      <c r="A57" s="618" t="s">
        <v>187</v>
      </c>
      <c r="B57" s="27" t="s">
        <v>186</v>
      </c>
      <c r="C57" s="658"/>
      <c r="D57" s="658"/>
      <c r="E57" s="220"/>
      <c r="F57" s="28"/>
      <c r="G57" s="12"/>
      <c r="H57" s="217"/>
      <c r="I57" s="21">
        <v>9.75</v>
      </c>
      <c r="J57" s="29">
        <v>3000</v>
      </c>
      <c r="K57" s="12">
        <f t="shared" si="1"/>
        <v>307.69230769230768</v>
      </c>
      <c r="L57" s="21">
        <v>9.75</v>
      </c>
      <c r="M57" s="13">
        <f>AVERAGE(M53:M56)</f>
        <v>2866.8518607299088</v>
      </c>
      <c r="N57" s="12">
        <f t="shared" si="3"/>
        <v>294.03608827999062</v>
      </c>
      <c r="O57" s="14">
        <f t="shared" si="4"/>
        <v>0</v>
      </c>
      <c r="P57" s="15">
        <f t="shared" si="5"/>
        <v>-13.656219412317057</v>
      </c>
      <c r="Q57" s="222">
        <f t="shared" si="6"/>
        <v>0.95561728690996961</v>
      </c>
      <c r="R57" s="616"/>
      <c r="S57" s="32"/>
      <c r="T57" s="32"/>
      <c r="U57" s="12"/>
      <c r="V57" s="218"/>
      <c r="W57" s="12"/>
      <c r="X57" s="12"/>
      <c r="Y57" s="22">
        <f>SUM(Y53:Y56)</f>
        <v>0</v>
      </c>
      <c r="Z57" s="22">
        <f>SUM(Z53:Z56)</f>
        <v>0</v>
      </c>
      <c r="AA57" s="611"/>
      <c r="AB57" s="611"/>
      <c r="AC57" s="22">
        <v>4</v>
      </c>
      <c r="AD57" s="22">
        <f>SUM(AD53:AD56)</f>
        <v>0</v>
      </c>
      <c r="AE57" s="14">
        <f t="shared" si="43"/>
        <v>-133.14813927009118</v>
      </c>
      <c r="AF57" s="222">
        <f t="shared" si="9"/>
        <v>0.95561728690996961</v>
      </c>
      <c r="AG57" s="616"/>
    </row>
    <row r="58" spans="1:33" ht="15.75" customHeight="1">
      <c r="A58" s="613" t="s">
        <v>73</v>
      </c>
      <c r="B58" s="217" t="s">
        <v>20</v>
      </c>
      <c r="C58" s="660" t="s">
        <v>39</v>
      </c>
      <c r="D58" s="660"/>
      <c r="E58" s="27">
        <v>19.02</v>
      </c>
      <c r="F58" s="217">
        <v>7083</v>
      </c>
      <c r="G58" s="216">
        <f t="shared" ref="G58:G62" si="45">E58*F58</f>
        <v>134718.66</v>
      </c>
      <c r="H58" s="31"/>
      <c r="I58" s="219">
        <v>14</v>
      </c>
      <c r="J58" s="29">
        <v>2400</v>
      </c>
      <c r="K58" s="12">
        <f t="shared" si="1"/>
        <v>171.42857142857142</v>
      </c>
      <c r="L58" s="219">
        <v>14</v>
      </c>
      <c r="M58" s="13">
        <f t="shared" ref="M58:M62" si="46">F58/V58*60</f>
        <v>2284.8387096774186</v>
      </c>
      <c r="N58" s="12">
        <f t="shared" si="3"/>
        <v>163.20276497695846</v>
      </c>
      <c r="O58" s="14">
        <f t="shared" si="4"/>
        <v>0</v>
      </c>
      <c r="P58" s="15">
        <f t="shared" si="5"/>
        <v>-8.2258064516129537</v>
      </c>
      <c r="Q58" s="222">
        <f t="shared" si="6"/>
        <v>0.95201612903225774</v>
      </c>
      <c r="R58" s="616">
        <f>Q63</f>
        <v>0.95513911386872119</v>
      </c>
      <c r="S58" s="32">
        <v>8.3333333333333329E-2</v>
      </c>
      <c r="T58" s="32">
        <v>0.21250000000000002</v>
      </c>
      <c r="U58" s="20"/>
      <c r="V58" s="218">
        <f t="shared" ref="V58:V62" si="47">(T58-S58)*24*60</f>
        <v>186.00000000000006</v>
      </c>
      <c r="W58" s="16">
        <f>T58</f>
        <v>0.21250000000000002</v>
      </c>
      <c r="X58" s="16">
        <f>S59</f>
        <v>0.23055555555555557</v>
      </c>
      <c r="Y58" s="16"/>
      <c r="Z58" s="16"/>
      <c r="AA58" s="612"/>
      <c r="AB58" s="612"/>
      <c r="AC58" s="136">
        <v>5</v>
      </c>
      <c r="AD58" s="18"/>
      <c r="AE58" s="14">
        <f t="shared" si="43"/>
        <v>-115.16129032258141</v>
      </c>
      <c r="AF58" s="222">
        <f t="shared" si="9"/>
        <v>0.95201612903225774</v>
      </c>
      <c r="AG58" s="616">
        <f>AF63</f>
        <v>0.9551391138687213</v>
      </c>
    </row>
    <row r="59" spans="1:33" ht="15.75" customHeight="1">
      <c r="A59" s="614" t="s">
        <v>73</v>
      </c>
      <c r="B59" s="217" t="s">
        <v>20</v>
      </c>
      <c r="C59" s="660" t="s">
        <v>24</v>
      </c>
      <c r="D59" s="660"/>
      <c r="E59" s="27">
        <v>20.36</v>
      </c>
      <c r="F59" s="217">
        <v>3125</v>
      </c>
      <c r="G59" s="216">
        <f t="shared" si="45"/>
        <v>63625</v>
      </c>
      <c r="H59" s="31"/>
      <c r="I59" s="219">
        <v>17</v>
      </c>
      <c r="J59" s="29">
        <v>2400</v>
      </c>
      <c r="K59" s="12">
        <f t="shared" si="1"/>
        <v>141.1764705882353</v>
      </c>
      <c r="L59" s="219">
        <v>17</v>
      </c>
      <c r="M59" s="13">
        <f t="shared" si="46"/>
        <v>2286.5853658536575</v>
      </c>
      <c r="N59" s="12">
        <f t="shared" si="3"/>
        <v>134.50502152080338</v>
      </c>
      <c r="O59" s="14">
        <f t="shared" si="4"/>
        <v>0</v>
      </c>
      <c r="P59" s="15">
        <f t="shared" si="5"/>
        <v>-6.6714490674319222</v>
      </c>
      <c r="Q59" s="222">
        <f t="shared" si="6"/>
        <v>0.95274390243902385</v>
      </c>
      <c r="R59" s="616"/>
      <c r="S59" s="32">
        <v>0.23055555555555557</v>
      </c>
      <c r="T59" s="32">
        <v>0.28750000000000003</v>
      </c>
      <c r="U59" s="216">
        <f t="shared" ref="U59:U62" si="48">(S59-T58)*24*60</f>
        <v>25.999999999999986</v>
      </c>
      <c r="V59" s="218">
        <f t="shared" si="47"/>
        <v>82.000000000000028</v>
      </c>
      <c r="W59" s="16"/>
      <c r="X59" s="16"/>
      <c r="Y59" s="16"/>
      <c r="Z59" s="16"/>
      <c r="AA59" s="612"/>
      <c r="AB59" s="612"/>
      <c r="AC59" s="136"/>
      <c r="AD59" s="18"/>
      <c r="AE59" s="14">
        <f t="shared" si="43"/>
        <v>-113.41463414634245</v>
      </c>
      <c r="AF59" s="222">
        <f t="shared" si="9"/>
        <v>0.95274390243902396</v>
      </c>
      <c r="AG59" s="616"/>
    </row>
    <row r="60" spans="1:33" ht="15.75" customHeight="1">
      <c r="A60" s="614" t="s">
        <v>73</v>
      </c>
      <c r="B60" s="217" t="s">
        <v>20</v>
      </c>
      <c r="C60" s="660" t="s">
        <v>38</v>
      </c>
      <c r="D60" s="660"/>
      <c r="E60" s="27">
        <v>22.69</v>
      </c>
      <c r="F60" s="217">
        <v>1997</v>
      </c>
      <c r="G60" s="216">
        <f t="shared" si="45"/>
        <v>45311.93</v>
      </c>
      <c r="H60" s="31"/>
      <c r="I60" s="219">
        <v>15</v>
      </c>
      <c r="J60" s="29">
        <v>2400</v>
      </c>
      <c r="K60" s="12">
        <f t="shared" si="1"/>
        <v>160</v>
      </c>
      <c r="L60" s="219">
        <v>15</v>
      </c>
      <c r="M60" s="13">
        <f t="shared" si="46"/>
        <v>2304.2307692307704</v>
      </c>
      <c r="N60" s="12">
        <f t="shared" si="3"/>
        <v>153.6153846153847</v>
      </c>
      <c r="O60" s="14">
        <f t="shared" si="4"/>
        <v>0</v>
      </c>
      <c r="P60" s="15">
        <f t="shared" si="5"/>
        <v>-6.3846153846153015</v>
      </c>
      <c r="Q60" s="222">
        <f t="shared" si="6"/>
        <v>0.96009615384615432</v>
      </c>
      <c r="R60" s="616"/>
      <c r="S60" s="32">
        <v>0.29166666666666669</v>
      </c>
      <c r="T60" s="32">
        <v>0.32777777777777778</v>
      </c>
      <c r="U60" s="216">
        <f t="shared" si="48"/>
        <v>5.9999999999999787</v>
      </c>
      <c r="V60" s="218">
        <f t="shared" si="47"/>
        <v>51.999999999999972</v>
      </c>
      <c r="W60" s="16"/>
      <c r="X60" s="16"/>
      <c r="Y60" s="16"/>
      <c r="Z60" s="16"/>
      <c r="AA60" s="612"/>
      <c r="AB60" s="612"/>
      <c r="AC60" s="136"/>
      <c r="AD60" s="18"/>
      <c r="AE60" s="14">
        <f t="shared" si="43"/>
        <v>-95.76923076922958</v>
      </c>
      <c r="AF60" s="222">
        <f t="shared" si="9"/>
        <v>0.96009615384615432</v>
      </c>
      <c r="AG60" s="616"/>
    </row>
    <row r="61" spans="1:33" ht="15.75" customHeight="1">
      <c r="A61" s="614" t="s">
        <v>73</v>
      </c>
      <c r="B61" s="217" t="s">
        <v>20</v>
      </c>
      <c r="C61" s="660" t="s">
        <v>80</v>
      </c>
      <c r="D61" s="660"/>
      <c r="E61" s="27">
        <v>25.98</v>
      </c>
      <c r="F61" s="217">
        <v>3168</v>
      </c>
      <c r="G61" s="216">
        <f t="shared" si="45"/>
        <v>82304.639999999999</v>
      </c>
      <c r="H61" s="31"/>
      <c r="I61" s="219">
        <v>17</v>
      </c>
      <c r="J61" s="29">
        <v>2400</v>
      </c>
      <c r="K61" s="12">
        <f t="shared" si="1"/>
        <v>141.1764705882353</v>
      </c>
      <c r="L61" s="219">
        <v>17</v>
      </c>
      <c r="M61" s="13">
        <f t="shared" si="46"/>
        <v>2290.12048192771</v>
      </c>
      <c r="N61" s="12">
        <f t="shared" si="3"/>
        <v>134.71296952515942</v>
      </c>
      <c r="O61" s="14">
        <f t="shared" si="4"/>
        <v>0</v>
      </c>
      <c r="P61" s="15">
        <f t="shared" si="5"/>
        <v>-6.4635010630758813</v>
      </c>
      <c r="Q61" s="222">
        <f t="shared" si="6"/>
        <v>0.95421686746987922</v>
      </c>
      <c r="R61" s="616"/>
      <c r="S61" s="32">
        <v>0.33263888888888887</v>
      </c>
      <c r="T61" s="32">
        <v>0.39027777777777778</v>
      </c>
      <c r="U61" s="216">
        <f t="shared" si="48"/>
        <v>6.9999999999999751</v>
      </c>
      <c r="V61" s="218">
        <f t="shared" si="47"/>
        <v>83.000000000000028</v>
      </c>
      <c r="W61" s="16"/>
      <c r="X61" s="16"/>
      <c r="Y61" s="16"/>
      <c r="Z61" s="16"/>
      <c r="AA61" s="612"/>
      <c r="AB61" s="612"/>
      <c r="AC61" s="136"/>
      <c r="AD61" s="18"/>
      <c r="AE61" s="14">
        <f t="shared" si="43"/>
        <v>-109.87951807229001</v>
      </c>
      <c r="AF61" s="222">
        <f t="shared" si="9"/>
        <v>0.95421686746987922</v>
      </c>
      <c r="AG61" s="616"/>
    </row>
    <row r="62" spans="1:33" ht="15.75" customHeight="1">
      <c r="A62" s="614" t="s">
        <v>73</v>
      </c>
      <c r="B62" s="217" t="s">
        <v>20</v>
      </c>
      <c r="C62" s="660" t="s">
        <v>739</v>
      </c>
      <c r="D62" s="660"/>
      <c r="E62" s="27">
        <v>28.29</v>
      </c>
      <c r="F62" s="217">
        <v>5778</v>
      </c>
      <c r="G62" s="216">
        <f t="shared" si="45"/>
        <v>163459.62</v>
      </c>
      <c r="H62" s="31"/>
      <c r="I62" s="219">
        <v>21</v>
      </c>
      <c r="J62" s="29">
        <v>2400</v>
      </c>
      <c r="K62" s="12">
        <f t="shared" si="1"/>
        <v>114.28571428571429</v>
      </c>
      <c r="L62" s="219">
        <v>21</v>
      </c>
      <c r="M62" s="13">
        <f t="shared" si="46"/>
        <v>2295.8940397350989</v>
      </c>
      <c r="N62" s="12">
        <f t="shared" si="3"/>
        <v>109.32828760643328</v>
      </c>
      <c r="O62" s="14">
        <f t="shared" si="4"/>
        <v>0</v>
      </c>
      <c r="P62" s="15">
        <f t="shared" si="5"/>
        <v>-4.9574266792810135</v>
      </c>
      <c r="Q62" s="222">
        <f t="shared" si="6"/>
        <v>0.95662251655629116</v>
      </c>
      <c r="R62" s="616"/>
      <c r="S62" s="32">
        <v>0.39513888888888887</v>
      </c>
      <c r="T62" s="32">
        <v>0.5</v>
      </c>
      <c r="U62" s="216">
        <f t="shared" si="48"/>
        <v>6.9999999999999751</v>
      </c>
      <c r="V62" s="218">
        <f t="shared" si="47"/>
        <v>151.00000000000003</v>
      </c>
      <c r="W62" s="16"/>
      <c r="X62" s="16"/>
      <c r="Y62" s="16"/>
      <c r="Z62" s="16"/>
      <c r="AA62" s="612"/>
      <c r="AB62" s="612"/>
      <c r="AC62" s="136"/>
      <c r="AD62" s="18"/>
      <c r="AE62" s="14">
        <f t="shared" si="43"/>
        <v>-104.10596026490111</v>
      </c>
      <c r="AF62" s="222">
        <f t="shared" si="9"/>
        <v>0.95662251655629116</v>
      </c>
      <c r="AG62" s="616"/>
    </row>
    <row r="63" spans="1:33" ht="16.5" customHeight="1">
      <c r="A63" s="615" t="s">
        <v>73</v>
      </c>
      <c r="B63" s="27" t="s">
        <v>186</v>
      </c>
      <c r="C63" s="609"/>
      <c r="D63" s="610"/>
      <c r="E63" s="220"/>
      <c r="F63" s="28"/>
      <c r="G63" s="12"/>
      <c r="H63" s="217"/>
      <c r="I63" s="21">
        <v>16.8</v>
      </c>
      <c r="J63" s="29">
        <v>2400</v>
      </c>
      <c r="K63" s="12">
        <f t="shared" si="1"/>
        <v>142.85714285714286</v>
      </c>
      <c r="L63" s="21">
        <v>16.8</v>
      </c>
      <c r="M63" s="13">
        <f>AVERAGE(M58:M62)</f>
        <v>2292.3338732849311</v>
      </c>
      <c r="N63" s="12">
        <f t="shared" si="3"/>
        <v>136.44844483838875</v>
      </c>
      <c r="O63" s="14">
        <f t="shared" si="4"/>
        <v>0</v>
      </c>
      <c r="P63" s="15">
        <f t="shared" si="5"/>
        <v>-6.4086980187541087</v>
      </c>
      <c r="Q63" s="222">
        <f t="shared" si="6"/>
        <v>0.95513911386872119</v>
      </c>
      <c r="R63" s="616"/>
      <c r="S63" s="32"/>
      <c r="T63" s="32"/>
      <c r="U63" s="12"/>
      <c r="V63" s="218"/>
      <c r="W63" s="12"/>
      <c r="X63" s="12"/>
      <c r="Y63" s="22">
        <f>SUM(Y58:Y62)</f>
        <v>0</v>
      </c>
      <c r="Z63" s="22">
        <f>SUM(Z58:Z62)</f>
        <v>0</v>
      </c>
      <c r="AA63" s="611"/>
      <c r="AB63" s="611"/>
      <c r="AC63" s="22">
        <v>5</v>
      </c>
      <c r="AD63" s="22">
        <f>SUM(AD58:AD62)</f>
        <v>0</v>
      </c>
      <c r="AE63" s="14">
        <f t="shared" si="43"/>
        <v>-107.66612671506891</v>
      </c>
      <c r="AF63" s="222">
        <f t="shared" si="9"/>
        <v>0.9551391138687213</v>
      </c>
      <c r="AG63" s="616"/>
    </row>
    <row r="64" spans="1:33">
      <c r="D64" s="23"/>
      <c r="E64" s="23"/>
    </row>
  </sheetData>
  <mergeCells count="17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1"/>
    <mergeCell ref="C8:D8"/>
    <mergeCell ref="R8:R11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8:AG11"/>
    <mergeCell ref="C9:D9"/>
    <mergeCell ref="AA9:AB9"/>
    <mergeCell ref="C10:D10"/>
    <mergeCell ref="AA10:AB10"/>
    <mergeCell ref="C11:D11"/>
    <mergeCell ref="AA11:AB11"/>
    <mergeCell ref="AA15:AB15"/>
    <mergeCell ref="C16:D16"/>
    <mergeCell ref="AA16:AB16"/>
    <mergeCell ref="A12:A21"/>
    <mergeCell ref="C12:D12"/>
    <mergeCell ref="R12:R21"/>
    <mergeCell ref="AA12:AB12"/>
    <mergeCell ref="C28:D28"/>
    <mergeCell ref="AA28:AB28"/>
    <mergeCell ref="AG12:AG21"/>
    <mergeCell ref="C13:D13"/>
    <mergeCell ref="AA13:AB13"/>
    <mergeCell ref="C14:D14"/>
    <mergeCell ref="AA14:AB14"/>
    <mergeCell ref="C15:D15"/>
    <mergeCell ref="C21:D21"/>
    <mergeCell ref="AA21:AB21"/>
    <mergeCell ref="A29:A34"/>
    <mergeCell ref="C29:D29"/>
    <mergeCell ref="R29:R34"/>
    <mergeCell ref="AA29:AB29"/>
    <mergeCell ref="AA34:AB3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22:A28"/>
    <mergeCell ref="C22:D22"/>
    <mergeCell ref="R22:R28"/>
    <mergeCell ref="AA22:AB22"/>
    <mergeCell ref="AA27:AB27"/>
    <mergeCell ref="AG35:AG40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C40:D40"/>
    <mergeCell ref="AA40:AB40"/>
    <mergeCell ref="A41:A45"/>
    <mergeCell ref="C41:D41"/>
    <mergeCell ref="R41:R45"/>
    <mergeCell ref="AA41:AB41"/>
    <mergeCell ref="A35:A40"/>
    <mergeCell ref="C35:D35"/>
    <mergeCell ref="R35:R40"/>
    <mergeCell ref="AA35:AB35"/>
    <mergeCell ref="AG46:AG52"/>
    <mergeCell ref="C47:D47"/>
    <mergeCell ref="AA47:AB47"/>
    <mergeCell ref="C48:D48"/>
    <mergeCell ref="AA48:AB48"/>
    <mergeCell ref="AA49:AB49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A50:AB50"/>
    <mergeCell ref="C51:D51"/>
    <mergeCell ref="AA51:AB51"/>
    <mergeCell ref="C52:D52"/>
    <mergeCell ref="AA52:AB52"/>
    <mergeCell ref="A53:A57"/>
    <mergeCell ref="C53:D53"/>
    <mergeCell ref="R53:R57"/>
    <mergeCell ref="AA53:AB53"/>
    <mergeCell ref="A46:A52"/>
    <mergeCell ref="C46:D46"/>
    <mergeCell ref="R46:R52"/>
    <mergeCell ref="AA46:AB46"/>
    <mergeCell ref="AG53:AG57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A58:A63"/>
    <mergeCell ref="C58:D58"/>
    <mergeCell ref="R58:R63"/>
    <mergeCell ref="AA58:AB58"/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6:O63 O5:O8 O11:O13 O21:O53">
    <cfRule type="cellIs" dxfId="654" priority="47" operator="greaterThan">
      <formula>0</formula>
    </cfRule>
  </conditionalFormatting>
  <conditionalFormatting sqref="P5:P6 P56 AE56 P58:P62 P29:P33 P53 P8 P11:P13 P22:P27 P46:P51 P35:P44 AE5:AE53 AE58:AE63">
    <cfRule type="cellIs" dxfId="653" priority="51" operator="lessThan">
      <formula>0</formula>
    </cfRule>
  </conditionalFormatting>
  <conditionalFormatting sqref="AF56 Q56:Q63 Q5:Q8 Q11:Q13 Q21:Q53 AF5:AF53 AF58:AF63">
    <cfRule type="cellIs" dxfId="652" priority="48" operator="greaterThan">
      <formula>1</formula>
    </cfRule>
    <cfRule type="cellIs" dxfId="651" priority="49" operator="lessThan">
      <formula>0.8</formula>
    </cfRule>
  </conditionalFormatting>
  <conditionalFormatting sqref="AG12:AG13 R12:R13 AG56 R56:R63 AG5:AG8 R5:R8 AG21:AG53 R21:R53">
    <cfRule type="cellIs" dxfId="650" priority="53" operator="lessThan">
      <formula>0.8</formula>
    </cfRule>
  </conditionalFormatting>
  <conditionalFormatting sqref="AG41">
    <cfRule type="cellIs" dxfId="649" priority="55" operator="lessThan">
      <formula>0.8</formula>
    </cfRule>
  </conditionalFormatting>
  <conditionalFormatting sqref="AG22:AG27">
    <cfRule type="cellIs" dxfId="648" priority="52" operator="lessThan">
      <formula>0.8</formula>
    </cfRule>
  </conditionalFormatting>
  <conditionalFormatting sqref="AG29">
    <cfRule type="cellIs" dxfId="647" priority="54" operator="lessThan">
      <formula>0.8</formula>
    </cfRule>
  </conditionalFormatting>
  <conditionalFormatting sqref="AG35:AG39">
    <cfRule type="cellIs" dxfId="646" priority="50" operator="lessThan">
      <formula>0.8</formula>
    </cfRule>
  </conditionalFormatting>
  <conditionalFormatting sqref="AE57">
    <cfRule type="cellIs" dxfId="645" priority="46" operator="lessThan">
      <formula>0</formula>
    </cfRule>
  </conditionalFormatting>
  <conditionalFormatting sqref="AF57">
    <cfRule type="cellIs" dxfId="644" priority="44" operator="greaterThan">
      <formula>1</formula>
    </cfRule>
    <cfRule type="cellIs" dxfId="643" priority="45" operator="lessThan">
      <formula>0.8</formula>
    </cfRule>
  </conditionalFormatting>
  <conditionalFormatting sqref="O14:O15">
    <cfRule type="cellIs" dxfId="642" priority="39" operator="greaterThan">
      <formula>0</formula>
    </cfRule>
  </conditionalFormatting>
  <conditionalFormatting sqref="P14:P15">
    <cfRule type="cellIs" dxfId="641" priority="42" operator="lessThan">
      <formula>0</formula>
    </cfRule>
  </conditionalFormatting>
  <conditionalFormatting sqref="Q14:Q15">
    <cfRule type="cellIs" dxfId="640" priority="40" operator="greaterThan">
      <formula>1</formula>
    </cfRule>
    <cfRule type="cellIs" dxfId="639" priority="41" operator="lessThan">
      <formula>0.8</formula>
    </cfRule>
  </conditionalFormatting>
  <conditionalFormatting sqref="R14:R15 AG14:AG15">
    <cfRule type="cellIs" dxfId="638" priority="43" operator="lessThan">
      <formula>0.8</formula>
    </cfRule>
  </conditionalFormatting>
  <conditionalFormatting sqref="O9:O10">
    <cfRule type="cellIs" dxfId="637" priority="35" operator="greaterThan">
      <formula>0</formula>
    </cfRule>
  </conditionalFormatting>
  <conditionalFormatting sqref="P9:P10">
    <cfRule type="cellIs" dxfId="636" priority="38" operator="lessThan">
      <formula>0</formula>
    </cfRule>
  </conditionalFormatting>
  <conditionalFormatting sqref="Q9:Q10">
    <cfRule type="cellIs" dxfId="635" priority="36" operator="greaterThan">
      <formula>1</formula>
    </cfRule>
    <cfRule type="cellIs" dxfId="634" priority="37" operator="lessThan">
      <formula>0.8</formula>
    </cfRule>
  </conditionalFormatting>
  <conditionalFormatting sqref="O55">
    <cfRule type="cellIs" dxfId="633" priority="30" operator="greaterThan">
      <formula>0</formula>
    </cfRule>
  </conditionalFormatting>
  <conditionalFormatting sqref="P55 AE55">
    <cfRule type="cellIs" dxfId="632" priority="33" operator="lessThan">
      <formula>0</formula>
    </cfRule>
  </conditionalFormatting>
  <conditionalFormatting sqref="Q55 AF55">
    <cfRule type="cellIs" dxfId="631" priority="31" operator="greaterThan">
      <formula>1</formula>
    </cfRule>
    <cfRule type="cellIs" dxfId="630" priority="32" operator="lessThan">
      <formula>0.8</formula>
    </cfRule>
  </conditionalFormatting>
  <conditionalFormatting sqref="R55 AG55">
    <cfRule type="cellIs" dxfId="629" priority="34" operator="lessThan">
      <formula>0.8</formula>
    </cfRule>
  </conditionalFormatting>
  <conditionalFormatting sqref="O16:O17">
    <cfRule type="cellIs" dxfId="628" priority="25" operator="greaterThan">
      <formula>0</formula>
    </cfRule>
  </conditionalFormatting>
  <conditionalFormatting sqref="P16:P17">
    <cfRule type="cellIs" dxfId="627" priority="28" operator="lessThan">
      <formula>0</formula>
    </cfRule>
  </conditionalFormatting>
  <conditionalFormatting sqref="Q16:Q17">
    <cfRule type="cellIs" dxfId="626" priority="26" operator="greaterThan">
      <formula>1</formula>
    </cfRule>
    <cfRule type="cellIs" dxfId="625" priority="27" operator="lessThan">
      <formula>0.8</formula>
    </cfRule>
  </conditionalFormatting>
  <conditionalFormatting sqref="R16:R17 AG16:AG17">
    <cfRule type="cellIs" dxfId="624" priority="29" operator="lessThan">
      <formula>0.8</formula>
    </cfRule>
  </conditionalFormatting>
  <conditionalFormatting sqref="O54">
    <cfRule type="cellIs" dxfId="623" priority="20" operator="greaterThan">
      <formula>0</formula>
    </cfRule>
  </conditionalFormatting>
  <conditionalFormatting sqref="P54 AE54">
    <cfRule type="cellIs" dxfId="622" priority="23" operator="lessThan">
      <formula>0</formula>
    </cfRule>
  </conditionalFormatting>
  <conditionalFormatting sqref="Q54 AF54">
    <cfRule type="cellIs" dxfId="621" priority="21" operator="greaterThan">
      <formula>1</formula>
    </cfRule>
    <cfRule type="cellIs" dxfId="620" priority="22" operator="lessThan">
      <formula>0.8</formula>
    </cfRule>
  </conditionalFormatting>
  <conditionalFormatting sqref="R54 AG54">
    <cfRule type="cellIs" dxfId="619" priority="24" operator="lessThan">
      <formula>0.8</formula>
    </cfRule>
  </conditionalFormatting>
  <conditionalFormatting sqref="O18">
    <cfRule type="cellIs" dxfId="618" priority="15" operator="greaterThan">
      <formula>0</formula>
    </cfRule>
  </conditionalFormatting>
  <conditionalFormatting sqref="P18">
    <cfRule type="cellIs" dxfId="617" priority="18" operator="lessThan">
      <formula>0</formula>
    </cfRule>
  </conditionalFormatting>
  <conditionalFormatting sqref="Q18">
    <cfRule type="cellIs" dxfId="616" priority="16" operator="greaterThan">
      <formula>1</formula>
    </cfRule>
    <cfRule type="cellIs" dxfId="615" priority="17" operator="lessThan">
      <formula>0.8</formula>
    </cfRule>
  </conditionalFormatting>
  <conditionalFormatting sqref="AG18 R18">
    <cfRule type="cellIs" dxfId="614" priority="19" operator="lessThan">
      <formula>0.8</formula>
    </cfRule>
  </conditionalFormatting>
  <conditionalFormatting sqref="O19:O20">
    <cfRule type="cellIs" dxfId="613" priority="10" operator="greaterThan">
      <formula>0</formula>
    </cfRule>
  </conditionalFormatting>
  <conditionalFormatting sqref="P19:P20">
    <cfRule type="cellIs" dxfId="612" priority="13" operator="lessThan">
      <formula>0</formula>
    </cfRule>
  </conditionalFormatting>
  <conditionalFormatting sqref="Q19:Q20">
    <cfRule type="cellIs" dxfId="611" priority="11" operator="greaterThan">
      <formula>1</formula>
    </cfRule>
    <cfRule type="cellIs" dxfId="610" priority="12" operator="lessThan">
      <formula>0.8</formula>
    </cfRule>
  </conditionalFormatting>
  <conditionalFormatting sqref="AG19 R19">
    <cfRule type="cellIs" dxfId="609" priority="14" operator="lessThan">
      <formula>0.8</formula>
    </cfRule>
  </conditionalFormatting>
  <conditionalFormatting sqref="P7">
    <cfRule type="cellIs" dxfId="608" priority="9" operator="lessThan">
      <formula>0</formula>
    </cfRule>
  </conditionalFormatting>
  <conditionalFormatting sqref="P21">
    <cfRule type="cellIs" dxfId="607" priority="8" operator="lessThan">
      <formula>0</formula>
    </cfRule>
  </conditionalFormatting>
  <conditionalFormatting sqref="P28">
    <cfRule type="cellIs" dxfId="606" priority="7" operator="lessThan">
      <formula>0</formula>
    </cfRule>
  </conditionalFormatting>
  <conditionalFormatting sqref="P34">
    <cfRule type="cellIs" dxfId="605" priority="6" operator="lessThan">
      <formula>0</formula>
    </cfRule>
  </conditionalFormatting>
  <conditionalFormatting sqref="P45">
    <cfRule type="cellIs" dxfId="604" priority="5" operator="lessThan">
      <formula>0</formula>
    </cfRule>
  </conditionalFormatting>
  <conditionalFormatting sqref="P52">
    <cfRule type="cellIs" dxfId="603" priority="4" operator="lessThan">
      <formula>0</formula>
    </cfRule>
  </conditionalFormatting>
  <conditionalFormatting sqref="P57">
    <cfRule type="cellIs" dxfId="602" priority="3" operator="lessThan">
      <formula>0</formula>
    </cfRule>
  </conditionalFormatting>
  <conditionalFormatting sqref="P63">
    <cfRule type="cellIs" dxfId="601" priority="2" operator="lessThan">
      <formula>0</formula>
    </cfRule>
  </conditionalFormatting>
  <conditionalFormatting sqref="AG20 R20">
    <cfRule type="cellIs" dxfId="600" priority="1" operator="lessThan">
      <formula>0.8</formula>
    </cfRule>
  </conditionalFormatting>
  <dataValidations count="1">
    <dataValidation type="list" allowBlank="1" showInputMessage="1" showErrorMessage="1" sqref="AB7 AA5:AB6 AA7:AA56 AB9:AB53 AA57:AB6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3" sqref="A3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833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834</v>
      </c>
      <c r="C3" s="594" t="str">
        <f>TEXT('0709 4度C'!A2,"yyyy.mm.ddaaaa")</f>
        <v>2026.07.09星期四</v>
      </c>
      <c r="D3" s="595"/>
      <c r="E3" s="36" t="s">
        <v>835</v>
      </c>
      <c r="F3" s="596">
        <f>'0709 4度C'!D1</f>
        <v>171221</v>
      </c>
      <c r="G3" s="597"/>
      <c r="H3" s="36" t="s">
        <v>836</v>
      </c>
      <c r="I3" s="598">
        <f>'0709 4度C'!F1</f>
        <v>5921965.1600000001</v>
      </c>
      <c r="J3" s="599"/>
      <c r="K3" s="37"/>
      <c r="L3" s="38"/>
      <c r="M3" s="39"/>
      <c r="N3" s="39"/>
    </row>
    <row r="4" spans="2:17" ht="28.5" customHeight="1">
      <c r="B4" s="600" t="s">
        <v>837</v>
      </c>
      <c r="C4" s="586" t="s">
        <v>838</v>
      </c>
      <c r="D4" s="587"/>
      <c r="E4" s="603" t="s">
        <v>839</v>
      </c>
      <c r="F4" s="604"/>
      <c r="G4" s="603" t="s">
        <v>840</v>
      </c>
      <c r="H4" s="604"/>
      <c r="I4" s="603" t="s">
        <v>841</v>
      </c>
      <c r="J4" s="604"/>
      <c r="K4" s="584" t="s">
        <v>842</v>
      </c>
      <c r="L4" s="585"/>
      <c r="M4" s="585" t="s">
        <v>843</v>
      </c>
      <c r="N4" s="585"/>
    </row>
    <row r="5" spans="2:17" ht="28.5" customHeight="1">
      <c r="B5" s="601"/>
      <c r="C5" s="586" t="s">
        <v>844</v>
      </c>
      <c r="D5" s="587"/>
      <c r="E5" s="586" t="s">
        <v>845</v>
      </c>
      <c r="F5" s="587"/>
      <c r="G5" s="588" t="s">
        <v>846</v>
      </c>
      <c r="H5" s="589"/>
      <c r="I5" s="590" t="s">
        <v>847</v>
      </c>
      <c r="J5" s="591"/>
      <c r="K5" s="40" t="s">
        <v>848</v>
      </c>
      <c r="L5" s="41" t="s">
        <v>392</v>
      </c>
      <c r="M5" s="40" t="s">
        <v>302</v>
      </c>
      <c r="N5" s="41" t="s">
        <v>849</v>
      </c>
    </row>
    <row r="6" spans="2:17" ht="28.5" customHeight="1">
      <c r="B6" s="601"/>
      <c r="C6" s="586" t="s">
        <v>41</v>
      </c>
      <c r="D6" s="587"/>
      <c r="E6" s="578">
        <f>AVERAGE(D13:M13)</f>
        <v>156.36792380349752</v>
      </c>
      <c r="F6" s="579">
        <f>AVERAGE(D31:O31,D13:J13)</f>
        <v>165.44731182104087</v>
      </c>
      <c r="G6" s="580">
        <f>AVERAGE(D13:J13)</f>
        <v>165.44731182104087</v>
      </c>
      <c r="H6" s="581"/>
      <c r="I6" s="580">
        <f>AVERAGE(K13:M13)</f>
        <v>135.18268509589629</v>
      </c>
      <c r="J6" s="581"/>
      <c r="K6" s="582">
        <f>'0709 4度C'!Y2</f>
        <v>0</v>
      </c>
      <c r="L6" s="567">
        <f>'0709 4度C'!Z2</f>
        <v>0</v>
      </c>
      <c r="M6" s="583">
        <f>'0709 4度C'!AC2</f>
        <v>54</v>
      </c>
      <c r="N6" s="567">
        <f>'0709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149.72636106049987</v>
      </c>
      <c r="F7" s="571">
        <f>AVERAGE(D32:O32,D14:J14)</f>
        <v>158.50162850143337</v>
      </c>
      <c r="G7" s="572">
        <f>AVERAGE(D14:J14)</f>
        <v>158.50162850143337</v>
      </c>
      <c r="H7" s="573"/>
      <c r="I7" s="572">
        <f>AVERAGE(K14:M14)</f>
        <v>129.25073703165495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0.95705500979502478</v>
      </c>
      <c r="F8" s="575">
        <f>AVERAGE(D15:J15,D33:O33)</f>
        <v>0.95742892425462167</v>
      </c>
      <c r="G8" s="576">
        <f>AVERAGE(D15:J15)</f>
        <v>0.95742892425462167</v>
      </c>
      <c r="H8" s="577"/>
      <c r="I8" s="576">
        <f>AVERAGE(K15:M15)</f>
        <v>0.95618254272263214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850</v>
      </c>
      <c r="N9" s="39"/>
      <c r="O9" s="39"/>
      <c r="P9" s="39"/>
      <c r="Q9" s="39"/>
    </row>
    <row r="10" spans="2:17" ht="30" customHeight="1">
      <c r="B10" s="550" t="s">
        <v>851</v>
      </c>
      <c r="C10" s="551"/>
      <c r="D10" s="552" t="s">
        <v>852</v>
      </c>
      <c r="E10" s="553"/>
      <c r="F10" s="553"/>
      <c r="G10" s="553"/>
      <c r="H10" s="553"/>
      <c r="I10" s="553"/>
      <c r="J10" s="554"/>
      <c r="K10" s="555" t="s">
        <v>853</v>
      </c>
      <c r="L10" s="556"/>
      <c r="M10" s="557"/>
      <c r="P10" s="45"/>
      <c r="Q10" s="45"/>
    </row>
    <row r="11" spans="2:17" ht="17.25" customHeight="1">
      <c r="B11" s="558" t="s">
        <v>854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855</v>
      </c>
      <c r="C13" s="52" t="s">
        <v>856</v>
      </c>
      <c r="D13" s="53">
        <f>SUMIFS('0709 4度C'!$K:$K,'0709 4度C'!$A:$A,"新豐6線",'0709 4度C'!$B:$B,"平均")</f>
        <v>129.03225806451613</v>
      </c>
      <c r="E13" s="54">
        <f>SUMIFS('0709 4度C'!$K:$K,'0709 4度C'!$A:$A,"新豐2線",'0709 4度C'!$B:$B,"平均")</f>
        <v>88.235294117647058</v>
      </c>
      <c r="F13" s="55">
        <f>SUMIFS('0709 4度C'!$K:$K,'0709 4度C'!$A:$A,"新豐5線",'0709 4度C'!$B:$B,"平均")</f>
        <v>85.820895522388071</v>
      </c>
      <c r="G13" s="55">
        <f>SUMIFS('0709 4度C'!$K:$K,'0709 4度C'!$A:$A,"新豐7線",'0709 4度C'!$B:$B,"平均")</f>
        <v>119.99999999999999</v>
      </c>
      <c r="H13" s="55">
        <f>SUMIFS('0709 4度C'!$K:$K,'0709 4度C'!$A:$A,"新豐3線",'0709 4度C'!$B:$B,"平均")</f>
        <v>307.69230769230768</v>
      </c>
      <c r="I13" s="55">
        <f>SUMIFS('0709 4度C'!$K:$K,'0709 4度C'!$A:$A,"新豐1線",'0709 4度C'!$B:$B,"平均")</f>
        <v>119.65811965811965</v>
      </c>
      <c r="J13" s="56">
        <f>SUMIFS('0709 4度C'!$K:$K,'0709 4度C'!$A:$A,"新豐10線",'0709 4度C'!$B:$B,"平均")</f>
        <v>307.69230769230768</v>
      </c>
      <c r="K13" s="57">
        <f>SUMIFS('0709 4度C'!$K:$K,'0709 4度C'!$A:$A,"新豐8線",'0709 4度C'!$B:$B,"平均")</f>
        <v>137.70491803278691</v>
      </c>
      <c r="L13" s="58">
        <f>SUMIFS('0709 4度C'!$K:$K,'0709 4度C'!$A:$A,"新豐9線",'0709 4度C'!$B:$B,"平均")</f>
        <v>126.66666666666667</v>
      </c>
      <c r="M13" s="56">
        <f>SUMIFS('0709 4度C'!$K:$K,'0709 4度C'!$A:$A,"新豐4線",'0709 4度C'!$B:$B,"平均")</f>
        <v>141.1764705882353</v>
      </c>
    </row>
    <row r="14" spans="2:17" ht="39.6" customHeight="1">
      <c r="B14" s="563"/>
      <c r="C14" s="59" t="s">
        <v>857</v>
      </c>
      <c r="D14" s="60">
        <f>SUMIFS('0709 4度C'!$N:$N,'0709 4度C'!$A:$A,"新豐6線",'0709 4度C'!$B:$B,"平均")</f>
        <v>123.1648402531254</v>
      </c>
      <c r="E14" s="61">
        <f>SUMIFS('0709 4度C'!$N:$N,'0709 4度C'!$A:$A,"新豐2線",'0709 4度C'!$B:$B,"平均")</f>
        <v>84.173716479598824</v>
      </c>
      <c r="F14" s="61">
        <f>SUMIFS('0709 4度C'!$N:$N,'0709 4度C'!$A:$A,"新豐5線",'0709 4度C'!$B:$B,"平均")</f>
        <v>81.90099250018514</v>
      </c>
      <c r="G14" s="61">
        <f>SUMIFS('0709 4度C'!$N:$N,'0709 4度C'!$A:$A,"新豐7線",'0709 4度C'!$B:$B,"平均")</f>
        <v>115.07948628545924</v>
      </c>
      <c r="H14" s="61">
        <f>SUMIFS('0709 4度C'!$N:$N,'0709 4度C'!$A:$A,"新豐3線",'0709 4度C'!$B:$B,"平均")</f>
        <v>294.19717277821047</v>
      </c>
      <c r="I14" s="61">
        <f>SUMIFS('0709 4度C'!$N:$N,'0709 4度C'!$A:$A,"新豐1線",'0709 4度C'!$B:$B,"平均")</f>
        <v>115.19369581518521</v>
      </c>
      <c r="J14" s="62">
        <f>SUMIFS('0709 4度C'!$N:$N,'0709 4度C'!$A:$A,"新豐10線",'0709 4度C'!$B:$B,"平均")</f>
        <v>295.80149539826954</v>
      </c>
      <c r="K14" s="63">
        <f>SUMIFS('0709 4度C'!$N:$N,'0709 4度C'!$A:$A,"新豐8線",'0709 4度C'!$B:$B,"平均")</f>
        <v>131.69569156354885</v>
      </c>
      <c r="L14" s="64">
        <f>SUMIFS('0709 4度C'!$N:$N,'0709 4度C'!$A:$A,"新豐9線",'0709 4度C'!$B:$B,"平均")</f>
        <v>121.33590427163946</v>
      </c>
      <c r="M14" s="62">
        <f>SUMIFS('0709 4度C'!$N:$N,'0709 4度C'!$A:$A,"新豐4線",'0709 4度C'!$B:$B,"平均")</f>
        <v>134.72061525977657</v>
      </c>
    </row>
    <row r="15" spans="2:17" ht="40.15" customHeight="1">
      <c r="B15" s="564"/>
      <c r="C15" s="65" t="s">
        <v>858</v>
      </c>
      <c r="D15" s="66">
        <f t="shared" ref="D15:M15" si="0">D14/D13</f>
        <v>0.95452751196172192</v>
      </c>
      <c r="E15" s="67">
        <f t="shared" si="0"/>
        <v>0.95396878676878671</v>
      </c>
      <c r="F15" s="67">
        <f t="shared" si="0"/>
        <v>0.95432460826302667</v>
      </c>
      <c r="G15" s="67">
        <f t="shared" si="0"/>
        <v>0.95899571904549374</v>
      </c>
      <c r="H15" s="67">
        <f t="shared" si="0"/>
        <v>0.95614081152918406</v>
      </c>
      <c r="I15" s="67">
        <f t="shared" si="0"/>
        <v>0.96269017216976216</v>
      </c>
      <c r="J15" s="68">
        <f t="shared" si="0"/>
        <v>0.96135486004437609</v>
      </c>
      <c r="K15" s="66">
        <f t="shared" si="0"/>
        <v>0.95636156968767605</v>
      </c>
      <c r="L15" s="67">
        <f t="shared" si="0"/>
        <v>0.95791503372346942</v>
      </c>
      <c r="M15" s="68">
        <f t="shared" si="0"/>
        <v>0.95427102475675063</v>
      </c>
    </row>
    <row r="16" spans="2:17" ht="17.25" customHeight="1">
      <c r="B16" s="565" t="s">
        <v>859</v>
      </c>
      <c r="C16" s="69" t="s">
        <v>860</v>
      </c>
      <c r="D16" s="70">
        <f>VLOOKUP("新豐6線",'0709 4度C'!$A:$T,19,0)</f>
        <v>0.70833333333333337</v>
      </c>
      <c r="E16" s="71">
        <f>VLOOKUP("新豐2線",'0709 4度C'!$A:$T,19,0)</f>
        <v>8.3333333333333329E-2</v>
      </c>
      <c r="F16" s="71">
        <f>VLOOKUP("新豐5線",'0709 4度C'!$A:$T,19,0)</f>
        <v>8.3333333333333329E-2</v>
      </c>
      <c r="G16" s="71">
        <f>VLOOKUP("新豐7線",'0709 4度C'!$A:$T,19,0)</f>
        <v>0.20833333333333334</v>
      </c>
      <c r="H16" s="71">
        <f>VLOOKUP("新豐3線",'0709 4度C'!$A:$T,19,0)</f>
        <v>0.20833333333333334</v>
      </c>
      <c r="I16" s="71">
        <f>VLOOKUP("新豐1線",'0709 4度C'!$A:$T,19,0)</f>
        <v>0.20833333333333334</v>
      </c>
      <c r="J16" s="72">
        <f>VLOOKUP("新豐10線",'0709 4度C'!$A:$T,19,0)</f>
        <v>0.20833333333333334</v>
      </c>
      <c r="K16" s="73">
        <f>VLOOKUP("新豐8線",'0709 4度C'!$A:$T,19,0)</f>
        <v>8.3333333333333329E-2</v>
      </c>
      <c r="L16" s="74">
        <f>VLOOKUP("新豐9線",'0709 4度C'!$A:$T,19,0)</f>
        <v>8.3333333333333329E-2</v>
      </c>
      <c r="M16" s="75">
        <f>VLOOKUP("新豐4線",'0709 4度C'!$A:$T,19,0)</f>
        <v>8.3333333333333329E-2</v>
      </c>
    </row>
    <row r="17" spans="2:13" ht="17.25" customHeight="1">
      <c r="B17" s="566"/>
      <c r="C17" s="69" t="s">
        <v>861</v>
      </c>
      <c r="D17" s="73">
        <f>LOOKUP(2,1/(('0709 4度C'!$A:$A="新豐6線")*('0709 4度C'!$T:$T&lt;&gt;"")),'0709 4度C'!$T:$T)</f>
        <v>0.81875000000000009</v>
      </c>
      <c r="E17" s="71">
        <f>LOOKUP(2,1/(('0709 4度C'!$A:$A="新豐2線")*('0709 4度C'!$T:$T&lt;&gt;"")),'0709 4度C'!$T:$T)</f>
        <v>0.52291666666666659</v>
      </c>
      <c r="F17" s="71">
        <f>LOOKUP(2,1/(('0709 4度C'!$A:$A="新豐5線")*('0709 4度C'!$T:$T&lt;&gt;"")),'0709 4度C'!$T:$T)</f>
        <v>0.85069444444444442</v>
      </c>
      <c r="G17" s="71">
        <f>LOOKUP(2,1/(('0709 4度C'!$A:$A="新豐7線")*('0709 4度C'!$T:$T&lt;&gt;"")),'0709 4度C'!$T:$T)</f>
        <v>0.82152777777777775</v>
      </c>
      <c r="H17" s="71">
        <f>LOOKUP(2,1/(('0709 4度C'!$A:$A="新豐3線")*('0709 4度C'!$T:$T&lt;&gt;"")),'0709 4度C'!$T:$T)</f>
        <v>0.44166666666666665</v>
      </c>
      <c r="I17" s="71">
        <f>LOOKUP(2,1/(('0709 4度C'!$A:$A="新豐1線")*('0709 4度C'!$T:$T&lt;&gt;"")),'0709 4度C'!$T:$T)</f>
        <v>0.83263888888888893</v>
      </c>
      <c r="J17" s="72">
        <f>LOOKUP(2,1/(('0709 4度C'!$A:$A="新豐10線")*('0709 4度C'!$T:$T&lt;&gt;"")),'0709 4度C'!$T:$T)</f>
        <v>0.42708333333333331</v>
      </c>
      <c r="K17" s="70">
        <f>LOOKUP(2,1/(('0709 4度C'!$A:$A="新豐8線")*('0709 4度C'!$T:$T&lt;&gt;"")),'0709 4度C'!$T:$T)</f>
        <v>0.66180555555555554</v>
      </c>
      <c r="L17" s="71">
        <f>LOOKUP(2,1/(('0709 4度C'!$A:$A="新豐9線")*('0709 4度C'!$T:$T&lt;&gt;"")),'0709 4度C'!$T:$T)</f>
        <v>0.65138888888888891</v>
      </c>
      <c r="M17" s="72">
        <f>LOOKUP(2,1/(('0709 4度C'!$A:$A="新豐4線")*('0709 4度C'!$T:$T&lt;&gt;"")),'0709 4度C'!$T:$T)</f>
        <v>0.64097222222222205</v>
      </c>
    </row>
    <row r="18" spans="2:13" ht="17.25" customHeight="1">
      <c r="B18" s="544" t="s">
        <v>862</v>
      </c>
      <c r="C18" s="76" t="s">
        <v>116</v>
      </c>
      <c r="D18" s="77">
        <f>SUMIFS('0709 4度C'!$Y:$Y,'0709 4度C'!$A:$A,"新豐6線",'0709 4度C'!$B:$B,"平均")</f>
        <v>0</v>
      </c>
      <c r="E18" s="78">
        <f>SUMIFS('0709 4度C'!$Y:$Y,'0709 4度C'!$A:$A,"新豐2線",'0709 4度C'!$B:$B,"平均")</f>
        <v>0</v>
      </c>
      <c r="F18" s="78">
        <f>SUMIFS('0709 4度C'!$Y:$Y,'0709 4度C'!$A:$A,"新豐5線",'0709 4度C'!$B:$B,"平均")</f>
        <v>0</v>
      </c>
      <c r="G18" s="78">
        <f>SUMIFS('0709 4度C'!$Y:$Y,'0709 4度C'!$A:$A,"新豐7線",'0709 4度C'!$B:$B,"平均")</f>
        <v>0</v>
      </c>
      <c r="H18" s="78">
        <f>SUMIFS('0709 4度C'!$Y:$Y,'0709 4度C'!$A:$A,"新豐3線",'0709 4度C'!$B:$B,"平均")</f>
        <v>0</v>
      </c>
      <c r="I18" s="78">
        <f>SUMIFS('0709 4度C'!$Y:$Y,'0709 4度C'!$A:$A,"新豐1線",'0709 4度C'!$B:$B,"平均")</f>
        <v>0</v>
      </c>
      <c r="J18" s="79">
        <f>SUMIFS('0709 4度C'!$Y:$Y,'0709 4度C'!$A:$A,"新豐10線",'0709 4度C'!$B:$B,"平均")</f>
        <v>0</v>
      </c>
      <c r="K18" s="80">
        <f>SUMIFS('0709 4度C'!$Y:$Y,'0709 4度C'!$A:$A,"新豐8線",'0709 4度C'!$B:$B,"平均")</f>
        <v>0</v>
      </c>
      <c r="L18" s="78">
        <f>SUMIFS('0709 4度C'!$Y:$Y,'0709 4度C'!$A:$A,"新豐9線",'0709 4度C'!$B:$B,"平均")</f>
        <v>0</v>
      </c>
      <c r="M18" s="79">
        <f>SUMIFS('0709 4度C'!$Y:$Y,'0709 4度C'!$A:$A,"新豐4線",'0709 4度C'!$B:$B,"平均")</f>
        <v>0</v>
      </c>
    </row>
    <row r="19" spans="2:13" ht="17.25" customHeight="1">
      <c r="B19" s="545"/>
      <c r="C19" s="76" t="s">
        <v>863</v>
      </c>
      <c r="D19" s="77">
        <f>SUMIFS('0709 4度C'!$Z:$Z,'0709 4度C'!$A:$A,"新豐6線",'0709 4度C'!$B:$B,"平均")</f>
        <v>0</v>
      </c>
      <c r="E19" s="78">
        <f>SUMIFS('0709 4度C'!$Z:$Z,'0709 4度C'!$A:$A,"新豐2線",'0709 4度C'!$B:$B,"平均")</f>
        <v>0</v>
      </c>
      <c r="F19" s="78">
        <f>SUMIFS('0709 4度C'!$Z:$Z,'0709 4度C'!$A:$A,"新豐5線",'0709 4度C'!$B:$B,"平均")</f>
        <v>0</v>
      </c>
      <c r="G19" s="78">
        <f>SUMIFS('0709 4度C'!$Z:$Z,'0709 4度C'!$A:$A,"新豐7線",'0709 4度C'!$B:$B,"平均")</f>
        <v>0</v>
      </c>
      <c r="H19" s="78">
        <f>SUMIFS('0709 4度C'!$Z:$Z,'0709 4度C'!$A:$A,"新豐3線",'0709 4度C'!$B:$B,"平均")</f>
        <v>0</v>
      </c>
      <c r="I19" s="78">
        <f>SUMIFS('0709 4度C'!$Z:$Z,'0709 4度C'!$A:$A,"新豐1線",'0709 4度C'!$B:$B,"平均")</f>
        <v>0</v>
      </c>
      <c r="J19" s="79">
        <f>SUMIFS('0709 4度C'!$Z:$Z,'0709 4度C'!$A:$A,"新豐10線",'0709 4度C'!$B:$B,"平均")</f>
        <v>0</v>
      </c>
      <c r="K19" s="80">
        <f>SUMIFS('0709 4度C'!$Z:$Z,'0709 4度C'!$A:$A,"新豐8線",'0709 4度C'!$B:$B,"平均")</f>
        <v>0</v>
      </c>
      <c r="L19" s="78">
        <f>SUMIFS('0709 4度C'!$Z:$Z,'0709 4度C'!$A:$A,"新豐9線",'0709 4度C'!$B:$B,"平均")</f>
        <v>0</v>
      </c>
      <c r="M19" s="79">
        <f>SUMIFS('0709 4度C'!$Z:$Z,'0709 4度C'!$A:$A,"新豐4線",'0709 4度C'!$B:$B,"平均")</f>
        <v>0</v>
      </c>
    </row>
    <row r="20" spans="2:13" ht="17.25" customHeight="1">
      <c r="B20" s="544" t="s">
        <v>864</v>
      </c>
      <c r="C20" s="76" t="s">
        <v>865</v>
      </c>
      <c r="D20" s="77">
        <f>SUMIFS('0709 4度C'!$AC:$AC,'0709 4度C'!$A:$A,"新豐6線",'0709 4度C'!$B:$B,"平均")</f>
        <v>2</v>
      </c>
      <c r="E20" s="78">
        <f>SUMIFS('0709 4度C'!$AC:$AC,'0709 4度C'!$A:$A,"新豐2線",'0709 4度C'!$B:$B,"平均")</f>
        <v>3</v>
      </c>
      <c r="F20" s="78">
        <f>SUMIFS('0709 4度C'!$AC:$AC,'0709 4度C'!$A:$A,"新豐5線",'0709 4度C'!$B:$B,"平均")</f>
        <v>7</v>
      </c>
      <c r="G20" s="78">
        <f>SUMIFS('0709 4度C'!$AC:$AC,'0709 4度C'!$A:$A,"新豐7線",'0709 4度C'!$B:$B,"平均")</f>
        <v>6</v>
      </c>
      <c r="H20" s="78">
        <f>SUMIFS('0709 4度C'!$AC:$AC,'0709 4度C'!$A:$A,"新豐3線",'0709 4度C'!$B:$B,"平均")</f>
        <v>4</v>
      </c>
      <c r="I20" s="78">
        <f>SUMIFS('0709 4度C'!$AC:$AC,'0709 4度C'!$A:$A,"新豐1線",'0709 4度C'!$B:$B,"平均")</f>
        <v>7</v>
      </c>
      <c r="J20" s="79">
        <f>SUMIFS('0709 4度C'!$AC:$AC,'0709 4度C'!$A:$A,"新豐10線",'0709 4度C'!$B:$B,"平均")</f>
        <v>4</v>
      </c>
      <c r="K20" s="80">
        <f>SUMIFS('0709 4度C'!$AC:$AC,'0709 4度C'!$A:$A,"新豐8線",'0709 4度C'!$B:$B,"平均")</f>
        <v>7</v>
      </c>
      <c r="L20" s="78">
        <f>SUMIFS('0709 4度C'!$AC:$AC,'0709 4度C'!$A:$A,"新豐9線",'0709 4度C'!$B:$B,"平均")</f>
        <v>7</v>
      </c>
      <c r="M20" s="79">
        <f>SUMIFS('0709 4度C'!$AC:$AC,'0709 4度C'!$A:$A,"新豐4線",'0709 4度C'!$B:$B,"平均")</f>
        <v>7</v>
      </c>
    </row>
    <row r="21" spans="2:13" ht="17.25" customHeight="1">
      <c r="B21" s="545"/>
      <c r="C21" s="76" t="s">
        <v>866</v>
      </c>
      <c r="D21" s="77">
        <f>SUMIFS('0709 4度C'!$AD:$AD,'0709 4度C'!$A:$A,"新豐6線",'0709 4度C'!$B:$B,"平均")</f>
        <v>0</v>
      </c>
      <c r="E21" s="78">
        <f>SUMIFS('0709 4度C'!$AD:$AD,'0709 4度C'!$A:$A,"新豐2線",'0709 4度C'!$B:$B,"平均")</f>
        <v>0</v>
      </c>
      <c r="F21" s="78">
        <f>SUMIFS('0709 4度C'!$AD:$AD,'0709 4度C'!$A:$A,"新豐5線",'0709 4度C'!$B:$B,"平均")</f>
        <v>0</v>
      </c>
      <c r="G21" s="78">
        <f>SUMIFS('0709 4度C'!$AD:$AD,'0709 4度C'!$A:$A,"新豐7線",'0709 4度C'!$B:$B,"平均")</f>
        <v>0</v>
      </c>
      <c r="H21" s="78">
        <f>SUMIFS('0709 4度C'!$AD:$AD,'0709 4度C'!$A:$A,"新豐3線",'0709 4度C'!$B:$B,"平均")</f>
        <v>0</v>
      </c>
      <c r="I21" s="78">
        <f>SUMIFS('0709 4度C'!$AD:$AD,'0709 4度C'!$A:$A,"新豐1線",'0709 4度C'!$B:$B,"平均")</f>
        <v>0</v>
      </c>
      <c r="J21" s="79">
        <f>SUMIFS('0709 4度C'!$AD:$AD,'0709 4度C'!$A:$A,"新豐10線",'0709 4度C'!$B:$B,"平均")</f>
        <v>0</v>
      </c>
      <c r="K21" s="80">
        <f>SUMIFS('0709 4度C'!$AD:$AD,'0709 4度C'!$A:$A,"新豐8線",'0709 4度C'!$B:$B,"平均")</f>
        <v>0</v>
      </c>
      <c r="L21" s="78">
        <f>SUMIFS('0709 4度C'!$AD:$AD,'0709 4度C'!$A:$A,"新豐9線",'0709 4度C'!$B:$B,"平均")</f>
        <v>0</v>
      </c>
      <c r="M21" s="79">
        <f>SUMIFS('0709 4度C'!$AD:$AD,'0709 4度C'!$A:$A,"新豐4線",'0709 4度C'!$B:$B,"平均")</f>
        <v>0</v>
      </c>
    </row>
    <row r="22" spans="2:13" ht="17.25" customHeight="1">
      <c r="B22" s="546" t="s">
        <v>867</v>
      </c>
      <c r="C22" s="547"/>
      <c r="D22" s="81">
        <f>SUMIFS('0709 4度C'!$I:$I,'0709 4度C'!$A:$A,"新豐6線",'0709 4度C'!$B:$B,"平均")</f>
        <v>15.5</v>
      </c>
      <c r="E22" s="82">
        <f>SUMIFS('0709 4度C'!$I:$I,'0709 4度C'!$A:$A,"新豐2線",'0709 4度C'!$B:$B,"平均")</f>
        <v>17</v>
      </c>
      <c r="F22" s="82">
        <f>SUMIFS('0709 4度C'!$I:$I,'0709 4度C'!$A:$A,"新豐5線",'0709 4度C'!$B:$B,"平均")</f>
        <v>19.142857142857142</v>
      </c>
      <c r="G22" s="82">
        <f>SUMIFS('0709 4度C'!$I:$I,'0709 4度C'!$A:$A,"新豐7線",'0709 4度C'!$B:$B,"平均")</f>
        <v>16.666666666666668</v>
      </c>
      <c r="H22" s="82">
        <f>SUMIFS('0709 4度C'!$I:$I,'0709 4度C'!$A:$A,"新豐3線",'0709 4度C'!$B:$B,"平均")</f>
        <v>9.75</v>
      </c>
      <c r="I22" s="82">
        <f>SUMIFS('0709 4度C'!$I:$I,'0709 4度C'!$A:$A,"新豐1線",'0709 4度C'!$B:$B,"平均")</f>
        <v>16.714285714285715</v>
      </c>
      <c r="J22" s="83">
        <f>SUMIFS('0709 4度C'!$I:$I,'0709 4度C'!$A:$A,"新豐10線",'0709 4度C'!$B:$B,"平均")</f>
        <v>9.75</v>
      </c>
      <c r="K22" s="81">
        <f>SUMIFS('0709 4度C'!$I:$I,'0709 4度C'!$A:$A,"新豐8線",'0709 4度C'!$B:$B,"平均")</f>
        <v>17.428571428571427</v>
      </c>
      <c r="L22" s="82">
        <f>SUMIFS('0709 4度C'!$I:$I,'0709 4度C'!$A:$A,"新豐9線",'0709 4度C'!$B:$B,"平均")</f>
        <v>17.142857142857142</v>
      </c>
      <c r="M22" s="83">
        <f>SUMIFS('0709 4度C'!$I:$I,'0709 4度C'!$A:$A,"新豐4線",'0709 4度C'!$B:$B,"平均")</f>
        <v>17</v>
      </c>
    </row>
    <row r="23" spans="2:13" ht="17.25" customHeight="1">
      <c r="B23" s="546" t="s">
        <v>868</v>
      </c>
      <c r="C23" s="547"/>
      <c r="D23" s="84" t="s">
        <v>54</v>
      </c>
      <c r="E23" s="85" t="s">
        <v>55</v>
      </c>
      <c r="F23" s="85" t="s">
        <v>869</v>
      </c>
      <c r="G23" s="85" t="s">
        <v>869</v>
      </c>
      <c r="H23" s="85" t="s">
        <v>56</v>
      </c>
      <c r="I23" s="85" t="s">
        <v>54</v>
      </c>
      <c r="J23" s="86" t="s">
        <v>56</v>
      </c>
      <c r="K23" s="84" t="s">
        <v>870</v>
      </c>
      <c r="L23" s="85" t="s">
        <v>870</v>
      </c>
      <c r="M23" s="86" t="s">
        <v>870</v>
      </c>
    </row>
    <row r="24" spans="2:13" ht="17.25" customHeight="1">
      <c r="B24" s="546" t="s">
        <v>671</v>
      </c>
      <c r="C24" s="547"/>
      <c r="D24" s="84"/>
      <c r="E24" s="85"/>
      <c r="F24" s="85" t="s">
        <v>871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872</v>
      </c>
      <c r="C25" s="549"/>
      <c r="D25" s="87"/>
      <c r="E25" s="88" t="s">
        <v>873</v>
      </c>
      <c r="F25" s="542" t="s">
        <v>874</v>
      </c>
      <c r="G25" s="543"/>
      <c r="H25" s="88" t="s">
        <v>237</v>
      </c>
      <c r="I25" s="88" t="s">
        <v>875</v>
      </c>
      <c r="J25" s="89" t="s">
        <v>876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877</v>
      </c>
      <c r="B1" s="1"/>
      <c r="C1" s="2" t="s">
        <v>878</v>
      </c>
      <c r="D1" s="3">
        <f>SUM(F5:F68)</f>
        <v>171221</v>
      </c>
      <c r="E1" s="205" t="s">
        <v>879</v>
      </c>
      <c r="F1" s="1">
        <f>SUM(G5:G68)</f>
        <v>5921965.1600000001</v>
      </c>
      <c r="G1" s="1" t="s">
        <v>880</v>
      </c>
      <c r="H1" s="4">
        <f>L7+L11+L47+L55+L19+L60+L34+L42+L26+L68</f>
        <v>156.0952380952381</v>
      </c>
      <c r="I1" s="654" t="s">
        <v>881</v>
      </c>
      <c r="J1" s="654"/>
      <c r="K1" s="654"/>
      <c r="L1" s="654" t="s">
        <v>882</v>
      </c>
      <c r="M1" s="654"/>
      <c r="N1" s="654"/>
      <c r="O1" s="654" t="s">
        <v>883</v>
      </c>
      <c r="P1" s="654"/>
      <c r="Q1" s="654"/>
      <c r="R1" s="654"/>
      <c r="S1" s="654" t="s">
        <v>884</v>
      </c>
      <c r="T1" s="654"/>
      <c r="U1" s="654"/>
      <c r="V1" s="654"/>
      <c r="W1" s="654"/>
      <c r="X1" s="654"/>
      <c r="Y1" s="5" t="s">
        <v>885</v>
      </c>
      <c r="Z1" s="6" t="s">
        <v>886</v>
      </c>
      <c r="AA1" s="655" t="s">
        <v>887</v>
      </c>
      <c r="AB1" s="655"/>
      <c r="AC1" s="92" t="s">
        <v>885</v>
      </c>
      <c r="AD1" s="6" t="s">
        <v>888</v>
      </c>
      <c r="AE1" s="654" t="s">
        <v>889</v>
      </c>
      <c r="AF1" s="656"/>
      <c r="AG1" s="656"/>
    </row>
    <row r="2" spans="1:33" ht="26.25" customHeight="1">
      <c r="A2" s="25">
        <v>46212</v>
      </c>
      <c r="B2" s="26" t="s">
        <v>250</v>
      </c>
      <c r="C2" s="2" t="s">
        <v>855</v>
      </c>
      <c r="D2" s="8">
        <f>AVERAGE(N7,N11,N47,N55,N19,N60,N26,N34,N42,N68)</f>
        <v>149.7263610604999</v>
      </c>
      <c r="E2" s="9" t="s">
        <v>0</v>
      </c>
      <c r="F2" s="10">
        <f>F1/D1</f>
        <v>34.586675466210338</v>
      </c>
      <c r="G2" s="1" t="s">
        <v>890</v>
      </c>
      <c r="H2" s="214">
        <f>COUNT(H5:H68)</f>
        <v>6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SUM(Y7+Y11+Y19+Y26+Y34+Y42+Y47+Y55+Y60+Y68)</f>
        <v>0</v>
      </c>
      <c r="Z2" s="11">
        <f>SUM(Z7+Z11+Z19+Z26+Z34+Z42+Z47+Z55+Z60+Z68)</f>
        <v>0</v>
      </c>
      <c r="AA2" s="655"/>
      <c r="AB2" s="655"/>
      <c r="AC2" s="11">
        <v>54</v>
      </c>
      <c r="AD2" s="11">
        <f>SUM(AD7+AD11+AD19+AD26+AD34+AD42+AD47+AD55+AD60+AD68)</f>
        <v>0</v>
      </c>
      <c r="AE2" s="656"/>
      <c r="AF2" s="656"/>
      <c r="AG2" s="656"/>
    </row>
    <row r="3" spans="1:33" ht="40.5" customHeight="1">
      <c r="A3" s="612" t="s">
        <v>891</v>
      </c>
      <c r="B3" s="612" t="s">
        <v>892</v>
      </c>
      <c r="C3" s="612" t="s">
        <v>893</v>
      </c>
      <c r="D3" s="612"/>
      <c r="E3" s="652" t="s">
        <v>894</v>
      </c>
      <c r="F3" s="612" t="s">
        <v>895</v>
      </c>
      <c r="G3" s="652" t="s">
        <v>896</v>
      </c>
      <c r="H3" s="645" t="s">
        <v>897</v>
      </c>
      <c r="I3" s="644" t="s">
        <v>898</v>
      </c>
      <c r="J3" s="641" t="s">
        <v>899</v>
      </c>
      <c r="K3" s="650" t="s">
        <v>855</v>
      </c>
      <c r="L3" s="644" t="s">
        <v>900</v>
      </c>
      <c r="M3" s="641" t="s">
        <v>901</v>
      </c>
      <c r="N3" s="650" t="s">
        <v>855</v>
      </c>
      <c r="O3" s="644" t="s">
        <v>898</v>
      </c>
      <c r="P3" s="650" t="s">
        <v>855</v>
      </c>
      <c r="Q3" s="642" t="s">
        <v>902</v>
      </c>
      <c r="R3" s="621" t="s">
        <v>903</v>
      </c>
      <c r="S3" s="651" t="s">
        <v>1</v>
      </c>
      <c r="T3" s="651"/>
      <c r="U3" s="645" t="s">
        <v>2</v>
      </c>
      <c r="V3" s="645" t="s">
        <v>904</v>
      </c>
      <c r="W3" s="612" t="s">
        <v>905</v>
      </c>
      <c r="X3" s="612"/>
      <c r="Y3" s="646" t="s">
        <v>906</v>
      </c>
      <c r="Z3" s="611"/>
      <c r="AA3" s="647" t="s">
        <v>907</v>
      </c>
      <c r="AB3" s="648"/>
      <c r="AC3" s="646" t="s">
        <v>908</v>
      </c>
      <c r="AD3" s="611"/>
      <c r="AE3" s="641" t="s">
        <v>901</v>
      </c>
      <c r="AF3" s="642" t="s">
        <v>909</v>
      </c>
      <c r="AG3" s="621" t="s">
        <v>903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13" t="s">
        <v>3</v>
      </c>
      <c r="T4" s="213" t="s">
        <v>4</v>
      </c>
      <c r="U4" s="645"/>
      <c r="V4" s="645"/>
      <c r="W4" s="205" t="s">
        <v>910</v>
      </c>
      <c r="X4" s="205" t="s">
        <v>911</v>
      </c>
      <c r="Y4" s="203" t="s">
        <v>912</v>
      </c>
      <c r="Z4" s="203" t="s">
        <v>913</v>
      </c>
      <c r="AA4" s="649"/>
      <c r="AB4" s="648"/>
      <c r="AC4" s="203" t="s">
        <v>914</v>
      </c>
      <c r="AD4" s="203" t="s">
        <v>915</v>
      </c>
      <c r="AE4" s="641"/>
      <c r="AF4" s="642"/>
      <c r="AG4" s="621"/>
    </row>
    <row r="5" spans="1:33">
      <c r="A5" s="643" t="s">
        <v>916</v>
      </c>
      <c r="B5" s="27" t="s">
        <v>5</v>
      </c>
      <c r="C5" s="657" t="s">
        <v>14</v>
      </c>
      <c r="D5" s="657"/>
      <c r="E5" s="27">
        <v>50.92</v>
      </c>
      <c r="F5" s="213">
        <v>2443</v>
      </c>
      <c r="G5" s="205">
        <f t="shared" ref="G5:G6" si="0">E5*F5</f>
        <v>124397.56</v>
      </c>
      <c r="H5" s="31" t="s">
        <v>40</v>
      </c>
      <c r="I5" s="211">
        <v>15</v>
      </c>
      <c r="J5" s="29">
        <v>2000</v>
      </c>
      <c r="K5" s="12">
        <f t="shared" ref="K5:K68" si="1">J5/I5</f>
        <v>133.33333333333334</v>
      </c>
      <c r="L5" s="211">
        <v>15</v>
      </c>
      <c r="M5" s="13">
        <f t="shared" ref="M5:M6" si="2">F5/V5*60</f>
        <v>1903.6363636363626</v>
      </c>
      <c r="N5" s="12">
        <f t="shared" ref="N5:N68" si="3">M5/L5</f>
        <v>126.90909090909084</v>
      </c>
      <c r="O5" s="14">
        <f t="shared" ref="O5:O68" si="4">L5-I5</f>
        <v>0</v>
      </c>
      <c r="P5" s="15">
        <f t="shared" ref="P5:P68" si="5">N5-K5</f>
        <v>-6.4242424242425074</v>
      </c>
      <c r="Q5" s="204">
        <f t="shared" ref="Q5:Q68" si="6">N5/K5</f>
        <v>0.95181818181818123</v>
      </c>
      <c r="R5" s="616">
        <f>Q7</f>
        <v>0.95452751196172192</v>
      </c>
      <c r="S5" s="32">
        <v>0.70833333333333337</v>
      </c>
      <c r="T5" s="32">
        <v>0.76180555555555562</v>
      </c>
      <c r="U5" s="205"/>
      <c r="V5" s="212">
        <f t="shared" ref="V5:V6" si="7">(T5-S5)*24*60</f>
        <v>77.000000000000043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4" si="8">M5-J5</f>
        <v>-96.363636363637397</v>
      </c>
      <c r="AF5" s="204">
        <f t="shared" ref="AF5:AF68" si="9">M5/J5</f>
        <v>0.95181818181818134</v>
      </c>
      <c r="AG5" s="616">
        <f>AF7</f>
        <v>0.95452751196172192</v>
      </c>
    </row>
    <row r="6" spans="1:33">
      <c r="A6" s="644" t="s">
        <v>917</v>
      </c>
      <c r="B6" s="27" t="s">
        <v>5</v>
      </c>
      <c r="C6" s="657" t="s">
        <v>19</v>
      </c>
      <c r="D6" s="657"/>
      <c r="E6" s="27">
        <v>50.98</v>
      </c>
      <c r="F6" s="213">
        <v>2425</v>
      </c>
      <c r="G6" s="205">
        <f t="shared" si="0"/>
        <v>123626.49999999999</v>
      </c>
      <c r="H6" s="31" t="s">
        <v>40</v>
      </c>
      <c r="I6" s="211">
        <v>16</v>
      </c>
      <c r="J6" s="29">
        <v>2000</v>
      </c>
      <c r="K6" s="12">
        <f t="shared" si="1"/>
        <v>125</v>
      </c>
      <c r="L6" s="211">
        <v>16</v>
      </c>
      <c r="M6" s="13">
        <f t="shared" si="2"/>
        <v>1914.4736842105249</v>
      </c>
      <c r="N6" s="12">
        <f t="shared" si="3"/>
        <v>119.6546052631578</v>
      </c>
      <c r="O6" s="14">
        <f t="shared" si="4"/>
        <v>0</v>
      </c>
      <c r="P6" s="15">
        <f t="shared" si="5"/>
        <v>-5.345394736842195</v>
      </c>
      <c r="Q6" s="204">
        <f t="shared" si="6"/>
        <v>0.95723684210526239</v>
      </c>
      <c r="R6" s="616"/>
      <c r="S6" s="32">
        <v>0.76597222222222228</v>
      </c>
      <c r="T6" s="32">
        <v>0.81875000000000009</v>
      </c>
      <c r="U6" s="205">
        <f t="shared" ref="U6" si="10">IF(S6=TIME(17,0,0),"",(S6-T5)*24*60)</f>
        <v>5.9999999999999787</v>
      </c>
      <c r="V6" s="212">
        <f t="shared" si="7"/>
        <v>76.000000000000057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-85.52631578947512</v>
      </c>
      <c r="AF6" s="204">
        <f t="shared" si="9"/>
        <v>0.95723684210526239</v>
      </c>
      <c r="AG6" s="616"/>
    </row>
    <row r="7" spans="1:33">
      <c r="A7" s="644" t="s">
        <v>917</v>
      </c>
      <c r="B7" s="27" t="s">
        <v>918</v>
      </c>
      <c r="C7" s="658"/>
      <c r="D7" s="658"/>
      <c r="E7" s="206"/>
      <c r="F7" s="28"/>
      <c r="G7" s="12"/>
      <c r="H7" s="213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1909.0550239234437</v>
      </c>
      <c r="N7" s="12">
        <f t="shared" si="3"/>
        <v>123.1648402531254</v>
      </c>
      <c r="O7" s="14">
        <f t="shared" si="4"/>
        <v>0</v>
      </c>
      <c r="P7" s="15">
        <f t="shared" si="5"/>
        <v>-5.8674178113907232</v>
      </c>
      <c r="Q7" s="204">
        <f t="shared" si="6"/>
        <v>0.95452751196172192</v>
      </c>
      <c r="R7" s="616"/>
      <c r="S7" s="32"/>
      <c r="T7" s="32"/>
      <c r="U7" s="205"/>
      <c r="V7" s="212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-90.944976076556259</v>
      </c>
      <c r="AF7" s="204">
        <f t="shared" si="9"/>
        <v>0.95452751196172192</v>
      </c>
      <c r="AG7" s="616"/>
    </row>
    <row r="8" spans="1:33" ht="15.75" customHeight="1">
      <c r="A8" s="640" t="s">
        <v>919</v>
      </c>
      <c r="B8" s="27" t="s">
        <v>8</v>
      </c>
      <c r="C8" s="638" t="s">
        <v>9</v>
      </c>
      <c r="D8" s="639"/>
      <c r="E8" s="27">
        <v>39.619999999999997</v>
      </c>
      <c r="F8" s="213">
        <v>4182</v>
      </c>
      <c r="G8" s="205">
        <f t="shared" ref="G8:G10" si="11">E8*F8</f>
        <v>165690.84</v>
      </c>
      <c r="H8" s="31" t="s">
        <v>40</v>
      </c>
      <c r="I8" s="211">
        <v>19</v>
      </c>
      <c r="J8" s="29">
        <v>1500</v>
      </c>
      <c r="K8" s="12">
        <f t="shared" si="1"/>
        <v>78.94736842105263</v>
      </c>
      <c r="L8" s="211">
        <v>19</v>
      </c>
      <c r="M8" s="13">
        <f t="shared" ref="M8:M10" si="12">F8/V8*60</f>
        <v>1433.8285714285714</v>
      </c>
      <c r="N8" s="12">
        <f t="shared" si="3"/>
        <v>75.464661654135341</v>
      </c>
      <c r="O8" s="14">
        <f t="shared" si="4"/>
        <v>0</v>
      </c>
      <c r="P8" s="15">
        <f t="shared" si="5"/>
        <v>-3.4827067669172891</v>
      </c>
      <c r="Q8" s="204">
        <f t="shared" si="6"/>
        <v>0.95588571428571434</v>
      </c>
      <c r="R8" s="616">
        <f>Q11</f>
        <v>0.95396878676878671</v>
      </c>
      <c r="S8" s="32">
        <v>8.3333333333333329E-2</v>
      </c>
      <c r="T8" s="32">
        <v>0.2048611111111111</v>
      </c>
      <c r="U8" s="205"/>
      <c r="V8" s="212">
        <f t="shared" ref="V8:V10" si="13">(T8-S8)*24*60</f>
        <v>175</v>
      </c>
      <c r="W8" s="16">
        <f>T8</f>
        <v>0.2048611111111111</v>
      </c>
      <c r="X8" s="16">
        <f>S9</f>
        <v>0.22222222222222218</v>
      </c>
      <c r="Y8" s="16"/>
      <c r="Z8" s="16"/>
      <c r="AA8" s="612"/>
      <c r="AB8" s="612"/>
      <c r="AC8" s="18">
        <v>3</v>
      </c>
      <c r="AD8" s="18"/>
      <c r="AE8" s="14">
        <f t="shared" si="8"/>
        <v>-66.171428571428578</v>
      </c>
      <c r="AF8" s="204">
        <f t="shared" si="9"/>
        <v>0.95588571428571423</v>
      </c>
      <c r="AG8" s="616">
        <f>AF11</f>
        <v>0.95396878676878671</v>
      </c>
    </row>
    <row r="9" spans="1:33" ht="15.75" customHeight="1">
      <c r="A9" s="640" t="s">
        <v>276</v>
      </c>
      <c r="B9" s="27" t="s">
        <v>8</v>
      </c>
      <c r="C9" s="638" t="s">
        <v>63</v>
      </c>
      <c r="D9" s="639"/>
      <c r="E9" s="27">
        <v>39.46</v>
      </c>
      <c r="F9" s="213">
        <v>3667</v>
      </c>
      <c r="G9" s="205">
        <f t="shared" si="11"/>
        <v>144699.82</v>
      </c>
      <c r="H9" s="31" t="s">
        <v>40</v>
      </c>
      <c r="I9" s="211">
        <v>15</v>
      </c>
      <c r="J9" s="29">
        <v>1500</v>
      </c>
      <c r="K9" s="12">
        <f t="shared" si="1"/>
        <v>100</v>
      </c>
      <c r="L9" s="211">
        <v>15</v>
      </c>
      <c r="M9" s="13">
        <f t="shared" si="12"/>
        <v>1428.7012987012986</v>
      </c>
      <c r="N9" s="12">
        <f t="shared" si="3"/>
        <v>95.246753246753244</v>
      </c>
      <c r="O9" s="14">
        <f t="shared" si="4"/>
        <v>0</v>
      </c>
      <c r="P9" s="15">
        <f t="shared" si="5"/>
        <v>-4.7532467532467564</v>
      </c>
      <c r="Q9" s="204">
        <f t="shared" si="6"/>
        <v>0.95246753246753246</v>
      </c>
      <c r="R9" s="616"/>
      <c r="S9" s="32">
        <v>0.22222222222222218</v>
      </c>
      <c r="T9" s="32">
        <v>0.32916666666666661</v>
      </c>
      <c r="U9" s="205">
        <f t="shared" ref="U9:U10" si="14">IF(S9=TIME(17,0,0),"",(S9-T8)*24*60)</f>
        <v>24.99999999999995</v>
      </c>
      <c r="V9" s="212">
        <f t="shared" si="13"/>
        <v>154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-71.298701298701417</v>
      </c>
      <c r="AF9" s="204">
        <f t="shared" si="9"/>
        <v>0.95246753246753235</v>
      </c>
      <c r="AG9" s="616"/>
    </row>
    <row r="10" spans="1:33" ht="15.75" customHeight="1">
      <c r="A10" s="640" t="s">
        <v>920</v>
      </c>
      <c r="B10" s="27" t="s">
        <v>8</v>
      </c>
      <c r="C10" s="638" t="s">
        <v>10</v>
      </c>
      <c r="D10" s="639"/>
      <c r="E10" s="27">
        <v>39.799999999999997</v>
      </c>
      <c r="F10" s="213">
        <v>6508</v>
      </c>
      <c r="G10" s="205">
        <f t="shared" si="11"/>
        <v>259018.4</v>
      </c>
      <c r="H10" s="31" t="s">
        <v>40</v>
      </c>
      <c r="I10" s="211">
        <v>17</v>
      </c>
      <c r="J10" s="29">
        <v>1500</v>
      </c>
      <c r="K10" s="12">
        <f t="shared" si="1"/>
        <v>88.235294117647058</v>
      </c>
      <c r="L10" s="211">
        <v>17</v>
      </c>
      <c r="M10" s="13">
        <f t="shared" si="12"/>
        <v>1430.3296703296703</v>
      </c>
      <c r="N10" s="12">
        <f t="shared" si="3"/>
        <v>84.137039431157078</v>
      </c>
      <c r="O10" s="14">
        <f t="shared" si="4"/>
        <v>0</v>
      </c>
      <c r="P10" s="15">
        <f t="shared" si="5"/>
        <v>-4.0982546864899803</v>
      </c>
      <c r="Q10" s="204">
        <f t="shared" si="6"/>
        <v>0.95355311355311356</v>
      </c>
      <c r="R10" s="616"/>
      <c r="S10" s="32">
        <v>0.33333333333333326</v>
      </c>
      <c r="T10" s="32">
        <v>0.52291666666666659</v>
      </c>
      <c r="U10" s="205">
        <f t="shared" si="14"/>
        <v>5.9999999999999787</v>
      </c>
      <c r="V10" s="212">
        <f t="shared" si="13"/>
        <v>273</v>
      </c>
      <c r="W10" s="16"/>
      <c r="X10" s="16"/>
      <c r="Y10" s="16"/>
      <c r="Z10" s="16"/>
      <c r="AA10" s="612"/>
      <c r="AB10" s="612"/>
      <c r="AC10" s="18"/>
      <c r="AD10" s="18"/>
      <c r="AE10" s="14">
        <f t="shared" si="8"/>
        <v>-69.670329670329693</v>
      </c>
      <c r="AF10" s="204">
        <f t="shared" si="9"/>
        <v>0.95355311355311356</v>
      </c>
      <c r="AG10" s="616"/>
    </row>
    <row r="11" spans="1:33" ht="16.5" customHeight="1">
      <c r="A11" s="640" t="s">
        <v>276</v>
      </c>
      <c r="B11" s="27" t="s">
        <v>275</v>
      </c>
      <c r="C11" s="658"/>
      <c r="D11" s="658"/>
      <c r="E11" s="206"/>
      <c r="F11" s="29"/>
      <c r="G11" s="13"/>
      <c r="H11" s="213"/>
      <c r="I11" s="21">
        <v>17</v>
      </c>
      <c r="J11" s="29">
        <v>1500</v>
      </c>
      <c r="K11" s="12">
        <f t="shared" si="1"/>
        <v>88.235294117647058</v>
      </c>
      <c r="L11" s="21">
        <v>17</v>
      </c>
      <c r="M11" s="13">
        <f>AVERAGE(M8:M10)</f>
        <v>1430.95318015318</v>
      </c>
      <c r="N11" s="12">
        <f t="shared" si="3"/>
        <v>84.173716479598824</v>
      </c>
      <c r="O11" s="14">
        <f t="shared" si="4"/>
        <v>0</v>
      </c>
      <c r="P11" s="15">
        <f t="shared" si="5"/>
        <v>-4.0615776380482345</v>
      </c>
      <c r="Q11" s="204">
        <f t="shared" si="6"/>
        <v>0.95396878676878671</v>
      </c>
      <c r="R11" s="616"/>
      <c r="S11" s="32"/>
      <c r="T11" s="32"/>
      <c r="U11" s="12"/>
      <c r="V11" s="212"/>
      <c r="W11" s="12"/>
      <c r="X11" s="12"/>
      <c r="Y11" s="22">
        <f>SUM(Y8:Y10)</f>
        <v>0</v>
      </c>
      <c r="Z11" s="22">
        <f>SUM(Z8:Z10)</f>
        <v>0</v>
      </c>
      <c r="AA11" s="611"/>
      <c r="AB11" s="611"/>
      <c r="AC11" s="22">
        <v>3</v>
      </c>
      <c r="AD11" s="22">
        <f>SUM(AD8:AD10)</f>
        <v>0</v>
      </c>
      <c r="AE11" s="14">
        <f t="shared" si="8"/>
        <v>-69.046819846819972</v>
      </c>
      <c r="AF11" s="204">
        <f t="shared" si="9"/>
        <v>0.95396878676878671</v>
      </c>
      <c r="AG11" s="616"/>
    </row>
    <row r="12" spans="1:33" ht="16.5" customHeight="1">
      <c r="A12" s="636" t="s">
        <v>921</v>
      </c>
      <c r="B12" s="213" t="s">
        <v>11</v>
      </c>
      <c r="C12" s="659" t="s">
        <v>67</v>
      </c>
      <c r="D12" s="659"/>
      <c r="E12" s="27">
        <v>38.619999999999997</v>
      </c>
      <c r="F12" s="213">
        <v>2783</v>
      </c>
      <c r="G12" s="205">
        <f t="shared" ref="G12:G18" si="15">E12*F12</f>
        <v>107479.45999999999</v>
      </c>
      <c r="H12" s="31" t="s">
        <v>40</v>
      </c>
      <c r="I12" s="211">
        <v>24</v>
      </c>
      <c r="J12" s="29">
        <v>1500</v>
      </c>
      <c r="K12" s="12">
        <f t="shared" si="1"/>
        <v>62.5</v>
      </c>
      <c r="L12" s="211">
        <v>24</v>
      </c>
      <c r="M12" s="13">
        <f t="shared" ref="M12:M18" si="16">F12/V12*60</f>
        <v>1427.1794871794871</v>
      </c>
      <c r="N12" s="12">
        <f t="shared" si="3"/>
        <v>59.465811965811959</v>
      </c>
      <c r="O12" s="14">
        <f t="shared" si="4"/>
        <v>0</v>
      </c>
      <c r="P12" s="15">
        <f t="shared" si="5"/>
        <v>-3.0341880341880412</v>
      </c>
      <c r="Q12" s="204">
        <f t="shared" si="6"/>
        <v>0.95145299145299134</v>
      </c>
      <c r="R12" s="616">
        <f>Q19</f>
        <v>0.95432460826302667</v>
      </c>
      <c r="S12" s="32">
        <v>8.3333333333333329E-2</v>
      </c>
      <c r="T12" s="32">
        <v>0.16458333333333333</v>
      </c>
      <c r="U12" s="205"/>
      <c r="V12" s="212">
        <f t="shared" ref="V12:V18" si="17">(T12-S12)*24*60</f>
        <v>117.00000000000001</v>
      </c>
      <c r="W12" s="16">
        <f>T12</f>
        <v>0.16458333333333333</v>
      </c>
      <c r="X12" s="16">
        <f>S13</f>
        <v>0.18472222222222223</v>
      </c>
      <c r="Y12" s="20"/>
      <c r="Z12" s="20"/>
      <c r="AA12" s="612"/>
      <c r="AB12" s="612"/>
      <c r="AC12" s="18">
        <v>7</v>
      </c>
      <c r="AD12" s="18"/>
      <c r="AE12" s="14">
        <f t="shared" si="8"/>
        <v>-72.820512820512931</v>
      </c>
      <c r="AF12" s="204">
        <f t="shared" si="9"/>
        <v>0.95145299145299134</v>
      </c>
      <c r="AG12" s="616">
        <f>AF19</f>
        <v>0.95432460826302679</v>
      </c>
    </row>
    <row r="13" spans="1:33" ht="16.5" customHeight="1">
      <c r="A13" s="637" t="s">
        <v>922</v>
      </c>
      <c r="B13" s="213" t="s">
        <v>11</v>
      </c>
      <c r="C13" s="659" t="s">
        <v>12</v>
      </c>
      <c r="D13" s="659"/>
      <c r="E13" s="27">
        <v>41</v>
      </c>
      <c r="F13" s="213">
        <v>2310</v>
      </c>
      <c r="G13" s="205">
        <f t="shared" si="15"/>
        <v>94710</v>
      </c>
      <c r="H13" s="31" t="s">
        <v>40</v>
      </c>
      <c r="I13" s="211">
        <v>26</v>
      </c>
      <c r="J13" s="29">
        <v>1500</v>
      </c>
      <c r="K13" s="12">
        <f t="shared" si="1"/>
        <v>57.692307692307693</v>
      </c>
      <c r="L13" s="211">
        <v>26</v>
      </c>
      <c r="M13" s="13">
        <f t="shared" si="16"/>
        <v>1428.8659793814438</v>
      </c>
      <c r="N13" s="12">
        <f t="shared" si="3"/>
        <v>54.956383822363222</v>
      </c>
      <c r="O13" s="14">
        <f t="shared" si="4"/>
        <v>0</v>
      </c>
      <c r="P13" s="15">
        <f t="shared" si="5"/>
        <v>-2.7359238699444717</v>
      </c>
      <c r="Q13" s="204">
        <f t="shared" si="6"/>
        <v>0.95257731958762915</v>
      </c>
      <c r="R13" s="616"/>
      <c r="S13" s="32">
        <v>0.18472222222222223</v>
      </c>
      <c r="T13" s="32">
        <v>0.25208333333333333</v>
      </c>
      <c r="U13" s="205">
        <f t="shared" ref="U13:U18" si="18">IF(S13=TIME(17,0,0),"",(S13-T12)*24*60)</f>
        <v>29.000000000000018</v>
      </c>
      <c r="V13" s="212">
        <f t="shared" si="17"/>
        <v>96.999999999999972</v>
      </c>
      <c r="W13" s="16"/>
      <c r="X13" s="16"/>
      <c r="Y13" s="16"/>
      <c r="Z13" s="16"/>
      <c r="AA13" s="612"/>
      <c r="AB13" s="612"/>
      <c r="AC13" s="18"/>
      <c r="AD13" s="18"/>
      <c r="AE13" s="14">
        <f t="shared" si="8"/>
        <v>-71.134020618556178</v>
      </c>
      <c r="AF13" s="204">
        <f t="shared" si="9"/>
        <v>0.95257731958762926</v>
      </c>
      <c r="AG13" s="616"/>
    </row>
    <row r="14" spans="1:33" ht="16.5" customHeight="1">
      <c r="A14" s="637" t="s">
        <v>923</v>
      </c>
      <c r="B14" s="213" t="s">
        <v>5</v>
      </c>
      <c r="C14" s="659" t="s">
        <v>66</v>
      </c>
      <c r="D14" s="659"/>
      <c r="E14" s="27">
        <v>37.03</v>
      </c>
      <c r="F14" s="213">
        <v>4223</v>
      </c>
      <c r="G14" s="205">
        <f t="shared" si="15"/>
        <v>156377.69</v>
      </c>
      <c r="H14" s="31" t="s">
        <v>40</v>
      </c>
      <c r="I14" s="211">
        <v>13</v>
      </c>
      <c r="J14" s="29">
        <v>1500</v>
      </c>
      <c r="K14" s="12">
        <f t="shared" si="1"/>
        <v>115.38461538461539</v>
      </c>
      <c r="L14" s="211">
        <v>13</v>
      </c>
      <c r="M14" s="13">
        <f t="shared" si="16"/>
        <v>1431.5254237288136</v>
      </c>
      <c r="N14" s="12">
        <f t="shared" si="3"/>
        <v>110.11734028683182</v>
      </c>
      <c r="O14" s="14">
        <f t="shared" si="4"/>
        <v>0</v>
      </c>
      <c r="P14" s="15">
        <f t="shared" si="5"/>
        <v>-5.2672750977835676</v>
      </c>
      <c r="Q14" s="204">
        <f t="shared" si="6"/>
        <v>0.95435028248587572</v>
      </c>
      <c r="R14" s="616"/>
      <c r="S14" s="32">
        <v>0.25694444444444442</v>
      </c>
      <c r="T14" s="32">
        <v>0.37986111111111109</v>
      </c>
      <c r="U14" s="205">
        <f t="shared" si="18"/>
        <v>6.9999999999999751</v>
      </c>
      <c r="V14" s="212">
        <f t="shared" si="17"/>
        <v>177</v>
      </c>
      <c r="W14" s="16"/>
      <c r="X14" s="16"/>
      <c r="Y14" s="16"/>
      <c r="Z14" s="16"/>
      <c r="AA14" s="612"/>
      <c r="AB14" s="612"/>
      <c r="AC14" s="18"/>
      <c r="AD14" s="18"/>
      <c r="AE14" s="14">
        <f t="shared" si="8"/>
        <v>-68.474576271186379</v>
      </c>
      <c r="AF14" s="204">
        <f t="shared" si="9"/>
        <v>0.95435028248587572</v>
      </c>
      <c r="AG14" s="616"/>
    </row>
    <row r="15" spans="1:33" ht="16.5" customHeight="1">
      <c r="A15" s="637" t="s">
        <v>278</v>
      </c>
      <c r="B15" s="213" t="s">
        <v>8</v>
      </c>
      <c r="C15" s="659" t="s">
        <v>74</v>
      </c>
      <c r="D15" s="659"/>
      <c r="E15" s="27">
        <v>39.520000000000003</v>
      </c>
      <c r="F15" s="213">
        <v>2913</v>
      </c>
      <c r="G15" s="205">
        <f t="shared" si="15"/>
        <v>115121.76000000001</v>
      </c>
      <c r="H15" s="31" t="s">
        <v>40</v>
      </c>
      <c r="I15" s="211">
        <v>19</v>
      </c>
      <c r="J15" s="29">
        <v>1500</v>
      </c>
      <c r="K15" s="12">
        <f t="shared" si="1"/>
        <v>78.94736842105263</v>
      </c>
      <c r="L15" s="211">
        <v>19</v>
      </c>
      <c r="M15" s="13">
        <f t="shared" si="16"/>
        <v>1432.6229508196725</v>
      </c>
      <c r="N15" s="12">
        <f t="shared" si="3"/>
        <v>75.401207937877501</v>
      </c>
      <c r="O15" s="14">
        <f t="shared" si="4"/>
        <v>0</v>
      </c>
      <c r="P15" s="15">
        <f t="shared" si="5"/>
        <v>-3.5461604831751288</v>
      </c>
      <c r="Q15" s="204">
        <f t="shared" si="6"/>
        <v>0.955081967213115</v>
      </c>
      <c r="R15" s="616"/>
      <c r="S15" s="32">
        <v>0.38402777777777775</v>
      </c>
      <c r="T15" s="32">
        <v>0.46874999999999994</v>
      </c>
      <c r="U15" s="205">
        <f t="shared" si="18"/>
        <v>5.9999999999999787</v>
      </c>
      <c r="V15" s="212">
        <f t="shared" si="17"/>
        <v>121.99999999999997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-67.377049180327504</v>
      </c>
      <c r="AF15" s="204">
        <f t="shared" si="9"/>
        <v>0.955081967213115</v>
      </c>
      <c r="AG15" s="616"/>
    </row>
    <row r="16" spans="1:33" ht="16.5" customHeight="1">
      <c r="A16" s="637" t="s">
        <v>278</v>
      </c>
      <c r="B16" s="213" t="s">
        <v>5</v>
      </c>
      <c r="C16" s="659" t="s">
        <v>6</v>
      </c>
      <c r="D16" s="659"/>
      <c r="E16" s="27">
        <v>50.67</v>
      </c>
      <c r="F16" s="213">
        <v>1590</v>
      </c>
      <c r="G16" s="205">
        <f t="shared" si="15"/>
        <v>80565.3</v>
      </c>
      <c r="H16" s="31" t="s">
        <v>40</v>
      </c>
      <c r="I16" s="211">
        <v>17</v>
      </c>
      <c r="J16" s="29">
        <v>2000</v>
      </c>
      <c r="K16" s="12">
        <f t="shared" si="1"/>
        <v>117.64705882352941</v>
      </c>
      <c r="L16" s="211">
        <v>17</v>
      </c>
      <c r="M16" s="13">
        <f t="shared" si="16"/>
        <v>1908.0000000000005</v>
      </c>
      <c r="N16" s="12">
        <f t="shared" si="3"/>
        <v>112.23529411764709</v>
      </c>
      <c r="O16" s="14">
        <f t="shared" si="4"/>
        <v>0</v>
      </c>
      <c r="P16" s="15">
        <f t="shared" si="5"/>
        <v>-5.4117647058823195</v>
      </c>
      <c r="Q16" s="204">
        <f t="shared" si="6"/>
        <v>0.95400000000000029</v>
      </c>
      <c r="R16" s="616"/>
      <c r="S16" s="32">
        <v>0.70833333333333337</v>
      </c>
      <c r="T16" s="32">
        <v>0.74305555555555558</v>
      </c>
      <c r="U16" s="205" t="str">
        <f t="shared" si="18"/>
        <v/>
      </c>
      <c r="V16" s="212">
        <f t="shared" si="17"/>
        <v>49.999999999999986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-91.999999999999545</v>
      </c>
      <c r="AF16" s="204">
        <f t="shared" si="9"/>
        <v>0.95400000000000018</v>
      </c>
      <c r="AG16" s="616"/>
    </row>
    <row r="17" spans="1:33" ht="16.5" customHeight="1">
      <c r="A17" s="637" t="s">
        <v>278</v>
      </c>
      <c r="B17" s="213" t="s">
        <v>5</v>
      </c>
      <c r="C17" s="106" t="s">
        <v>7</v>
      </c>
      <c r="D17" s="107"/>
      <c r="E17" s="27">
        <v>50.67</v>
      </c>
      <c r="F17" s="213">
        <v>1399</v>
      </c>
      <c r="G17" s="205">
        <f t="shared" si="15"/>
        <v>70887.33</v>
      </c>
      <c r="H17" s="31" t="s">
        <v>40</v>
      </c>
      <c r="I17" s="211">
        <v>15</v>
      </c>
      <c r="J17" s="29">
        <v>2000</v>
      </c>
      <c r="K17" s="12">
        <f t="shared" si="1"/>
        <v>133.33333333333334</v>
      </c>
      <c r="L17" s="211">
        <v>15</v>
      </c>
      <c r="M17" s="13">
        <f t="shared" si="16"/>
        <v>1907.7272727272727</v>
      </c>
      <c r="N17" s="12">
        <f t="shared" si="3"/>
        <v>127.18181818181819</v>
      </c>
      <c r="O17" s="14">
        <f t="shared" si="4"/>
        <v>0</v>
      </c>
      <c r="P17" s="15">
        <f t="shared" si="5"/>
        <v>-6.1515151515151558</v>
      </c>
      <c r="Q17" s="204">
        <f t="shared" si="6"/>
        <v>0.95386363636363636</v>
      </c>
      <c r="R17" s="616"/>
      <c r="S17" s="32">
        <v>0.74652777777777779</v>
      </c>
      <c r="T17" s="32">
        <v>0.77708333333333335</v>
      </c>
      <c r="U17" s="205">
        <f t="shared" si="18"/>
        <v>4.9999999999999822</v>
      </c>
      <c r="V17" s="212">
        <f t="shared" si="17"/>
        <v>44</v>
      </c>
      <c r="W17" s="16"/>
      <c r="X17" s="16"/>
      <c r="Y17" s="19"/>
      <c r="Z17" s="19"/>
      <c r="AA17" s="209"/>
      <c r="AB17" s="210"/>
      <c r="AC17" s="18"/>
      <c r="AD17" s="18"/>
      <c r="AE17" s="14">
        <f t="shared" si="8"/>
        <v>-92.272727272727252</v>
      </c>
      <c r="AF17" s="204">
        <f t="shared" si="9"/>
        <v>0.95386363636363636</v>
      </c>
      <c r="AG17" s="616"/>
    </row>
    <row r="18" spans="1:33" ht="16.5" customHeight="1">
      <c r="A18" s="637" t="s">
        <v>924</v>
      </c>
      <c r="B18" s="213" t="s">
        <v>5</v>
      </c>
      <c r="C18" s="106" t="s">
        <v>615</v>
      </c>
      <c r="D18" s="107"/>
      <c r="E18" s="27">
        <v>54.5</v>
      </c>
      <c r="F18" s="213">
        <v>2422</v>
      </c>
      <c r="G18" s="205">
        <f t="shared" si="15"/>
        <v>131999</v>
      </c>
      <c r="H18" s="31" t="s">
        <v>40</v>
      </c>
      <c r="I18" s="211">
        <v>20</v>
      </c>
      <c r="J18" s="29">
        <v>1500</v>
      </c>
      <c r="K18" s="12">
        <f t="shared" si="1"/>
        <v>75</v>
      </c>
      <c r="L18" s="211">
        <v>20</v>
      </c>
      <c r="M18" s="13">
        <f t="shared" si="16"/>
        <v>1438.8118811881193</v>
      </c>
      <c r="N18" s="12">
        <f t="shared" si="3"/>
        <v>71.940594059405967</v>
      </c>
      <c r="O18" s="14">
        <f t="shared" si="4"/>
        <v>0</v>
      </c>
      <c r="P18" s="15">
        <f t="shared" si="5"/>
        <v>-3.0594059405940328</v>
      </c>
      <c r="Q18" s="204">
        <f t="shared" si="6"/>
        <v>0.95920792079207962</v>
      </c>
      <c r="R18" s="616"/>
      <c r="S18" s="32">
        <v>0.78055555555555556</v>
      </c>
      <c r="T18" s="32">
        <v>0.85069444444444442</v>
      </c>
      <c r="U18" s="205">
        <f t="shared" si="18"/>
        <v>4.9999999999999822</v>
      </c>
      <c r="V18" s="212">
        <f t="shared" si="17"/>
        <v>100.99999999999996</v>
      </c>
      <c r="W18" s="16"/>
      <c r="X18" s="16"/>
      <c r="Y18" s="19"/>
      <c r="Z18" s="19"/>
      <c r="AA18" s="209"/>
      <c r="AB18" s="210"/>
      <c r="AC18" s="18"/>
      <c r="AD18" s="18"/>
      <c r="AE18" s="14">
        <f t="shared" si="8"/>
        <v>-61.188118811880713</v>
      </c>
      <c r="AF18" s="204">
        <f t="shared" si="9"/>
        <v>0.9592079207920795</v>
      </c>
      <c r="AG18" s="616"/>
    </row>
    <row r="19" spans="1:33" ht="16.5" customHeight="1">
      <c r="A19" s="637" t="s">
        <v>925</v>
      </c>
      <c r="B19" s="27" t="s">
        <v>926</v>
      </c>
      <c r="C19" s="658"/>
      <c r="D19" s="658"/>
      <c r="E19" s="206"/>
      <c r="F19" s="28"/>
      <c r="G19" s="12"/>
      <c r="H19" s="213"/>
      <c r="I19" s="21">
        <v>19.142857142857142</v>
      </c>
      <c r="J19" s="29">
        <v>1642.8571428571429</v>
      </c>
      <c r="K19" s="12">
        <f t="shared" si="1"/>
        <v>85.820895522388071</v>
      </c>
      <c r="L19" s="21">
        <v>19.142857142857142</v>
      </c>
      <c r="M19" s="13">
        <f>AVERAGE(M12:M18)</f>
        <v>1567.8189992892583</v>
      </c>
      <c r="N19" s="12">
        <f t="shared" si="3"/>
        <v>81.90099250018514</v>
      </c>
      <c r="O19" s="14">
        <f t="shared" si="4"/>
        <v>0</v>
      </c>
      <c r="P19" s="15">
        <f t="shared" si="5"/>
        <v>-3.9199030222029307</v>
      </c>
      <c r="Q19" s="204">
        <f t="shared" si="6"/>
        <v>0.95432460826302667</v>
      </c>
      <c r="R19" s="616"/>
      <c r="S19" s="32"/>
      <c r="T19" s="32"/>
      <c r="U19" s="205"/>
      <c r="V19" s="212"/>
      <c r="W19" s="12"/>
      <c r="X19" s="12"/>
      <c r="Y19" s="22">
        <f>SUM(Y12:Y18)</f>
        <v>0</v>
      </c>
      <c r="Z19" s="22">
        <f>SUM(Z12:Z18)</f>
        <v>0</v>
      </c>
      <c r="AA19" s="611"/>
      <c r="AB19" s="611"/>
      <c r="AC19" s="22">
        <v>7</v>
      </c>
      <c r="AD19" s="22">
        <f>SUM(AD12:AD18)</f>
        <v>0</v>
      </c>
      <c r="AE19" s="14">
        <f t="shared" si="8"/>
        <v>-75.038143567884617</v>
      </c>
      <c r="AF19" s="204">
        <f t="shared" si="9"/>
        <v>0.95432460826302679</v>
      </c>
      <c r="AG19" s="616"/>
    </row>
    <row r="20" spans="1:33" ht="15.75" customHeight="1">
      <c r="A20" s="634" t="s">
        <v>927</v>
      </c>
      <c r="B20" s="27" t="s">
        <v>5</v>
      </c>
      <c r="C20" s="659" t="s">
        <v>16</v>
      </c>
      <c r="D20" s="659"/>
      <c r="E20" s="27">
        <v>50.67</v>
      </c>
      <c r="F20" s="213">
        <v>1925</v>
      </c>
      <c r="G20" s="205">
        <f t="shared" ref="G20:G25" si="19">E20*F20</f>
        <v>97539.75</v>
      </c>
      <c r="H20" s="31" t="s">
        <v>40</v>
      </c>
      <c r="I20" s="211">
        <v>17</v>
      </c>
      <c r="J20" s="29">
        <v>2000</v>
      </c>
      <c r="K20" s="12">
        <f t="shared" si="1"/>
        <v>117.64705882352941</v>
      </c>
      <c r="L20" s="211">
        <v>17</v>
      </c>
      <c r="M20" s="13">
        <f t="shared" ref="M20:M25" si="20">F20/V20*60</f>
        <v>1925.0000000000005</v>
      </c>
      <c r="N20" s="12">
        <f t="shared" si="3"/>
        <v>113.23529411764709</v>
      </c>
      <c r="O20" s="14">
        <f t="shared" si="4"/>
        <v>0</v>
      </c>
      <c r="P20" s="15">
        <f t="shared" si="5"/>
        <v>-4.4117647058823195</v>
      </c>
      <c r="Q20" s="204">
        <f t="shared" si="6"/>
        <v>0.96250000000000024</v>
      </c>
      <c r="R20" s="616">
        <f>Q26</f>
        <v>0.95899571904549374</v>
      </c>
      <c r="S20" s="32">
        <v>0.20833333333333334</v>
      </c>
      <c r="T20" s="32">
        <v>0.25</v>
      </c>
      <c r="U20" s="205"/>
      <c r="V20" s="212">
        <f t="shared" ref="V20:V25" si="21">(T20-S20)*24*60</f>
        <v>59.999999999999986</v>
      </c>
      <c r="W20" s="16"/>
      <c r="X20" s="16"/>
      <c r="Y20" s="20"/>
      <c r="Z20" s="20"/>
      <c r="AA20" s="612"/>
      <c r="AB20" s="612"/>
      <c r="AC20" s="18">
        <v>6</v>
      </c>
      <c r="AD20" s="18"/>
      <c r="AE20" s="14">
        <f t="shared" si="8"/>
        <v>-74.999999999999545</v>
      </c>
      <c r="AF20" s="204">
        <f t="shared" si="9"/>
        <v>0.96250000000000024</v>
      </c>
      <c r="AG20" s="616">
        <f>AF26</f>
        <v>0.95899571904549374</v>
      </c>
    </row>
    <row r="21" spans="1:33" ht="15.75" customHeight="1">
      <c r="A21" s="635" t="s">
        <v>928</v>
      </c>
      <c r="B21" s="27" t="s">
        <v>5</v>
      </c>
      <c r="C21" s="659" t="s">
        <v>17</v>
      </c>
      <c r="D21" s="659"/>
      <c r="E21" s="27">
        <v>57.73</v>
      </c>
      <c r="F21" s="213">
        <v>2330</v>
      </c>
      <c r="G21" s="205">
        <f t="shared" si="19"/>
        <v>134510.9</v>
      </c>
      <c r="H21" s="31" t="s">
        <v>40</v>
      </c>
      <c r="I21" s="211">
        <v>14</v>
      </c>
      <c r="J21" s="29">
        <v>2000</v>
      </c>
      <c r="K21" s="12">
        <f t="shared" si="1"/>
        <v>142.85714285714286</v>
      </c>
      <c r="L21" s="211">
        <v>14</v>
      </c>
      <c r="M21" s="13">
        <f t="shared" si="20"/>
        <v>1915.0684931506853</v>
      </c>
      <c r="N21" s="12">
        <f t="shared" si="3"/>
        <v>136.79060665362039</v>
      </c>
      <c r="O21" s="14">
        <f t="shared" si="4"/>
        <v>0</v>
      </c>
      <c r="P21" s="15">
        <f t="shared" si="5"/>
        <v>-6.0665362035224746</v>
      </c>
      <c r="Q21" s="204">
        <f t="shared" si="6"/>
        <v>0.9575342465753427</v>
      </c>
      <c r="R21" s="616"/>
      <c r="S21" s="32">
        <v>0.25416666666666665</v>
      </c>
      <c r="T21" s="32">
        <v>0.30486111111111108</v>
      </c>
      <c r="U21" s="205">
        <f t="shared" ref="U21:U25" si="22">IF(S21=TIME(17,0,0),"",(S21-T20)*24*60)</f>
        <v>5.9999999999999787</v>
      </c>
      <c r="V21" s="212">
        <f t="shared" si="21"/>
        <v>72.999999999999986</v>
      </c>
      <c r="W21" s="16"/>
      <c r="X21" s="205"/>
      <c r="Y21" s="205"/>
      <c r="Z21" s="205"/>
      <c r="AA21" s="612"/>
      <c r="AB21" s="612"/>
      <c r="AC21" s="18"/>
      <c r="AD21" s="18"/>
      <c r="AE21" s="14">
        <f t="shared" si="8"/>
        <v>-84.931506849314701</v>
      </c>
      <c r="AF21" s="204">
        <f t="shared" si="9"/>
        <v>0.9575342465753427</v>
      </c>
      <c r="AG21" s="616"/>
    </row>
    <row r="22" spans="1:33" ht="15.75" customHeight="1">
      <c r="A22" s="635" t="s">
        <v>929</v>
      </c>
      <c r="B22" s="27" t="s">
        <v>5</v>
      </c>
      <c r="C22" s="659" t="s">
        <v>60</v>
      </c>
      <c r="D22" s="659"/>
      <c r="E22" s="27">
        <v>53.27</v>
      </c>
      <c r="F22" s="213">
        <v>1670</v>
      </c>
      <c r="G22" s="205">
        <f t="shared" si="19"/>
        <v>88960.900000000009</v>
      </c>
      <c r="H22" s="31" t="s">
        <v>40</v>
      </c>
      <c r="I22" s="211">
        <v>16</v>
      </c>
      <c r="J22" s="29">
        <v>2000</v>
      </c>
      <c r="K22" s="12">
        <f t="shared" si="1"/>
        <v>125</v>
      </c>
      <c r="L22" s="211">
        <v>16</v>
      </c>
      <c r="M22" s="13">
        <f t="shared" si="20"/>
        <v>1926.923076923078</v>
      </c>
      <c r="N22" s="12">
        <f t="shared" si="3"/>
        <v>120.43269230769238</v>
      </c>
      <c r="O22" s="14">
        <f t="shared" si="4"/>
        <v>0</v>
      </c>
      <c r="P22" s="15">
        <f t="shared" si="5"/>
        <v>-4.5673076923076223</v>
      </c>
      <c r="Q22" s="204">
        <f t="shared" si="6"/>
        <v>0.96346153846153904</v>
      </c>
      <c r="R22" s="616"/>
      <c r="S22" s="32">
        <v>0.31041666666666662</v>
      </c>
      <c r="T22" s="32">
        <v>0.34652777777777771</v>
      </c>
      <c r="U22" s="205">
        <f t="shared" si="22"/>
        <v>7.9999999999999716</v>
      </c>
      <c r="V22" s="212">
        <f t="shared" si="21"/>
        <v>51.999999999999972</v>
      </c>
      <c r="W22" s="16"/>
      <c r="X22" s="205"/>
      <c r="Y22" s="205"/>
      <c r="Z22" s="205"/>
      <c r="AA22" s="612"/>
      <c r="AB22" s="612"/>
      <c r="AC22" s="18"/>
      <c r="AD22" s="18"/>
      <c r="AE22" s="14">
        <f t="shared" si="8"/>
        <v>-73.076923076921958</v>
      </c>
      <c r="AF22" s="204">
        <f t="shared" si="9"/>
        <v>0.96346153846153904</v>
      </c>
      <c r="AG22" s="616"/>
    </row>
    <row r="23" spans="1:33" ht="15.75" customHeight="1">
      <c r="A23" s="635" t="s">
        <v>930</v>
      </c>
      <c r="B23" s="27" t="s">
        <v>5</v>
      </c>
      <c r="C23" s="659" t="s">
        <v>81</v>
      </c>
      <c r="D23" s="659"/>
      <c r="E23" s="27">
        <v>51.44</v>
      </c>
      <c r="F23" s="213">
        <v>2072</v>
      </c>
      <c r="G23" s="205">
        <f t="shared" si="19"/>
        <v>106583.67999999999</v>
      </c>
      <c r="H23" s="31" t="s">
        <v>40</v>
      </c>
      <c r="I23" s="211">
        <v>25</v>
      </c>
      <c r="J23" s="29">
        <v>2000</v>
      </c>
      <c r="K23" s="12">
        <f t="shared" si="1"/>
        <v>80</v>
      </c>
      <c r="L23" s="211">
        <v>25</v>
      </c>
      <c r="M23" s="13">
        <f t="shared" si="20"/>
        <v>1912.6153846153843</v>
      </c>
      <c r="N23" s="12">
        <f t="shared" si="3"/>
        <v>76.504615384615377</v>
      </c>
      <c r="O23" s="14">
        <f t="shared" si="4"/>
        <v>0</v>
      </c>
      <c r="P23" s="15">
        <f t="shared" si="5"/>
        <v>-3.4953846153846229</v>
      </c>
      <c r="Q23" s="204">
        <f t="shared" si="6"/>
        <v>0.95630769230769219</v>
      </c>
      <c r="R23" s="616"/>
      <c r="S23" s="32">
        <v>0.34999999999999992</v>
      </c>
      <c r="T23" s="32">
        <v>0.39513888888888882</v>
      </c>
      <c r="U23" s="205">
        <f t="shared" si="22"/>
        <v>4.9999999999999822</v>
      </c>
      <c r="V23" s="212">
        <f t="shared" si="21"/>
        <v>65.000000000000014</v>
      </c>
      <c r="W23" s="16"/>
      <c r="X23" s="205"/>
      <c r="Y23" s="205"/>
      <c r="Z23" s="205"/>
      <c r="AA23" s="612"/>
      <c r="AB23" s="612"/>
      <c r="AC23" s="18"/>
      <c r="AD23" s="18"/>
      <c r="AE23" s="14">
        <f t="shared" si="8"/>
        <v>-87.384615384615699</v>
      </c>
      <c r="AF23" s="204">
        <f t="shared" si="9"/>
        <v>0.95630769230769219</v>
      </c>
      <c r="AG23" s="616"/>
    </row>
    <row r="24" spans="1:33" ht="15.75" customHeight="1">
      <c r="A24" s="635" t="s">
        <v>931</v>
      </c>
      <c r="B24" s="27" t="s">
        <v>5</v>
      </c>
      <c r="C24" s="659" t="s">
        <v>18</v>
      </c>
      <c r="D24" s="659"/>
      <c r="E24" s="27">
        <v>50.49</v>
      </c>
      <c r="F24" s="213">
        <v>1944</v>
      </c>
      <c r="G24" s="205">
        <f t="shared" si="19"/>
        <v>98152.56</v>
      </c>
      <c r="H24" s="31" t="s">
        <v>40</v>
      </c>
      <c r="I24" s="211">
        <v>15</v>
      </c>
      <c r="J24" s="29">
        <v>2000</v>
      </c>
      <c r="K24" s="12">
        <f t="shared" si="1"/>
        <v>133.33333333333334</v>
      </c>
      <c r="L24" s="211">
        <v>15</v>
      </c>
      <c r="M24" s="13">
        <f t="shared" si="20"/>
        <v>1912.1311475409855</v>
      </c>
      <c r="N24" s="12">
        <f t="shared" si="3"/>
        <v>127.47540983606569</v>
      </c>
      <c r="O24" s="14">
        <f t="shared" si="4"/>
        <v>0</v>
      </c>
      <c r="P24" s="15">
        <f t="shared" si="5"/>
        <v>-5.8579234972676488</v>
      </c>
      <c r="Q24" s="204">
        <f t="shared" si="6"/>
        <v>0.95606557377049262</v>
      </c>
      <c r="R24" s="616"/>
      <c r="S24" s="32">
        <v>0.70833333333333337</v>
      </c>
      <c r="T24" s="32">
        <v>0.75069444444444444</v>
      </c>
      <c r="U24" s="205" t="str">
        <f t="shared" si="22"/>
        <v/>
      </c>
      <c r="V24" s="212">
        <f t="shared" si="21"/>
        <v>60.999999999999943</v>
      </c>
      <c r="W24" s="16"/>
      <c r="X24" s="16"/>
      <c r="Y24" s="205"/>
      <c r="Z24" s="205"/>
      <c r="AA24" s="612"/>
      <c r="AB24" s="612"/>
      <c r="AC24" s="18"/>
      <c r="AD24" s="18"/>
      <c r="AE24" s="14">
        <f t="shared" si="8"/>
        <v>-87.868852459014533</v>
      </c>
      <c r="AF24" s="204">
        <f t="shared" si="9"/>
        <v>0.95606557377049273</v>
      </c>
      <c r="AG24" s="616"/>
    </row>
    <row r="25" spans="1:33" ht="15.75" customHeight="1">
      <c r="A25" s="635" t="s">
        <v>931</v>
      </c>
      <c r="B25" s="27" t="s">
        <v>5</v>
      </c>
      <c r="C25" s="659" t="s">
        <v>62</v>
      </c>
      <c r="D25" s="659"/>
      <c r="E25" s="27">
        <v>51.06</v>
      </c>
      <c r="F25" s="213">
        <v>3034</v>
      </c>
      <c r="G25" s="205">
        <f t="shared" si="19"/>
        <v>154916.04</v>
      </c>
      <c r="H25" s="31" t="s">
        <v>40</v>
      </c>
      <c r="I25" s="211">
        <v>13</v>
      </c>
      <c r="J25" s="29">
        <v>2000</v>
      </c>
      <c r="K25" s="12">
        <f t="shared" si="1"/>
        <v>153.84615384615384</v>
      </c>
      <c r="L25" s="211">
        <v>13</v>
      </c>
      <c r="M25" s="13">
        <f t="shared" si="20"/>
        <v>1916.2105263157898</v>
      </c>
      <c r="N25" s="12">
        <f t="shared" si="3"/>
        <v>147.40080971659921</v>
      </c>
      <c r="O25" s="14">
        <f t="shared" si="4"/>
        <v>0</v>
      </c>
      <c r="P25" s="15">
        <f t="shared" si="5"/>
        <v>-6.445344129554627</v>
      </c>
      <c r="Q25" s="204">
        <f t="shared" si="6"/>
        <v>0.9581052631578949</v>
      </c>
      <c r="R25" s="616"/>
      <c r="S25" s="32">
        <v>0.75555555555555554</v>
      </c>
      <c r="T25" s="32">
        <v>0.82152777777777775</v>
      </c>
      <c r="U25" s="205">
        <f t="shared" si="22"/>
        <v>6.9999999999999751</v>
      </c>
      <c r="V25" s="212">
        <f t="shared" si="21"/>
        <v>94.999999999999986</v>
      </c>
      <c r="W25" s="16"/>
      <c r="X25" s="20"/>
      <c r="Y25" s="20"/>
      <c r="Z25" s="20"/>
      <c r="AA25" s="612"/>
      <c r="AB25" s="612"/>
      <c r="AC25" s="18"/>
      <c r="AD25" s="18"/>
      <c r="AE25" s="14">
        <f t="shared" si="8"/>
        <v>-83.789473684210179</v>
      </c>
      <c r="AF25" s="204">
        <f t="shared" si="9"/>
        <v>0.9581052631578949</v>
      </c>
      <c r="AG25" s="616"/>
    </row>
    <row r="26" spans="1:33" ht="15.75" customHeight="1">
      <c r="A26" s="635" t="s">
        <v>280</v>
      </c>
      <c r="B26" s="27" t="s">
        <v>932</v>
      </c>
      <c r="C26" s="658"/>
      <c r="D26" s="658"/>
      <c r="E26" s="206"/>
      <c r="F26" s="213"/>
      <c r="G26" s="205"/>
      <c r="H26" s="213"/>
      <c r="I26" s="21">
        <v>16.666666666666668</v>
      </c>
      <c r="J26" s="29">
        <v>2000</v>
      </c>
      <c r="K26" s="12">
        <f t="shared" si="1"/>
        <v>119.99999999999999</v>
      </c>
      <c r="L26" s="21">
        <v>16.666666666666668</v>
      </c>
      <c r="M26" s="13">
        <f>AVERAGE(M20:M25)</f>
        <v>1917.9914380909875</v>
      </c>
      <c r="N26" s="12">
        <f t="shared" si="3"/>
        <v>115.07948628545924</v>
      </c>
      <c r="O26" s="14">
        <f t="shared" si="4"/>
        <v>0</v>
      </c>
      <c r="P26" s="15">
        <f t="shared" si="5"/>
        <v>-4.9205137145407463</v>
      </c>
      <c r="Q26" s="204">
        <f t="shared" si="6"/>
        <v>0.95899571904549374</v>
      </c>
      <c r="R26" s="616"/>
      <c r="S26" s="32"/>
      <c r="T26" s="32"/>
      <c r="U26" s="12"/>
      <c r="V26" s="212"/>
      <c r="W26" s="12"/>
      <c r="X26" s="12"/>
      <c r="Y26" s="22">
        <f>SUM(Y20:Y25)</f>
        <v>0</v>
      </c>
      <c r="Z26" s="22">
        <f>SUM(Z20:Z25)</f>
        <v>0</v>
      </c>
      <c r="AA26" s="611"/>
      <c r="AB26" s="611"/>
      <c r="AC26" s="22">
        <v>6</v>
      </c>
      <c r="AD26" s="22">
        <f>SUM(AD20:AD25)</f>
        <v>0</v>
      </c>
      <c r="AE26" s="14">
        <f t="shared" si="8"/>
        <v>-82.008561909012542</v>
      </c>
      <c r="AF26" s="204">
        <f t="shared" si="9"/>
        <v>0.95899571904549374</v>
      </c>
      <c r="AG26" s="616"/>
    </row>
    <row r="27" spans="1:33" ht="15.75" customHeight="1">
      <c r="A27" s="633" t="s">
        <v>933</v>
      </c>
      <c r="B27" s="27" t="s">
        <v>20</v>
      </c>
      <c r="C27" s="659" t="s">
        <v>21</v>
      </c>
      <c r="D27" s="659"/>
      <c r="E27" s="27">
        <v>31.29</v>
      </c>
      <c r="F27" s="213">
        <v>4800</v>
      </c>
      <c r="G27" s="205">
        <f t="shared" ref="G27:G33" si="23">E27*F27</f>
        <v>150192</v>
      </c>
      <c r="H27" s="31">
        <v>2</v>
      </c>
      <c r="I27" s="211">
        <v>18</v>
      </c>
      <c r="J27" s="29">
        <v>2400</v>
      </c>
      <c r="K27" s="12">
        <f t="shared" si="1"/>
        <v>133.33333333333334</v>
      </c>
      <c r="L27" s="211">
        <v>18</v>
      </c>
      <c r="M27" s="13">
        <f t="shared" ref="M27:M33" si="24">F27/V27*60</f>
        <v>2285.7142857142858</v>
      </c>
      <c r="N27" s="12">
        <f t="shared" si="3"/>
        <v>126.98412698412699</v>
      </c>
      <c r="O27" s="14">
        <f t="shared" si="4"/>
        <v>0</v>
      </c>
      <c r="P27" s="15">
        <f t="shared" si="5"/>
        <v>-6.3492063492063551</v>
      </c>
      <c r="Q27" s="204">
        <f t="shared" si="6"/>
        <v>0.95238095238095233</v>
      </c>
      <c r="R27" s="616">
        <f>Q34</f>
        <v>0.95636156968767605</v>
      </c>
      <c r="S27" s="32">
        <v>8.3333333333333329E-2</v>
      </c>
      <c r="T27" s="32">
        <v>0.17083333333333334</v>
      </c>
      <c r="U27" s="205"/>
      <c r="V27" s="212">
        <f t="shared" ref="V27:V33" si="25">(T27-S27)*24*60</f>
        <v>126</v>
      </c>
      <c r="W27" s="16">
        <f>T27</f>
        <v>0.17083333333333334</v>
      </c>
      <c r="X27" s="16">
        <f>S28</f>
        <v>0.1902777777777778</v>
      </c>
      <c r="Y27" s="16"/>
      <c r="Z27" s="16"/>
      <c r="AA27" s="612"/>
      <c r="AB27" s="612"/>
      <c r="AC27" s="18">
        <v>7</v>
      </c>
      <c r="AD27" s="18"/>
      <c r="AE27" s="14">
        <f t="shared" si="8"/>
        <v>-114.28571428571422</v>
      </c>
      <c r="AF27" s="204">
        <f t="shared" si="9"/>
        <v>0.95238095238095244</v>
      </c>
      <c r="AG27" s="616">
        <f>AF34</f>
        <v>0.95636156968767594</v>
      </c>
    </row>
    <row r="28" spans="1:33" ht="15.75" customHeight="1">
      <c r="A28" s="633" t="s">
        <v>933</v>
      </c>
      <c r="B28" s="27" t="s">
        <v>20</v>
      </c>
      <c r="C28" s="659" t="s">
        <v>22</v>
      </c>
      <c r="D28" s="659"/>
      <c r="E28" s="27">
        <v>26.37</v>
      </c>
      <c r="F28" s="213">
        <v>5869</v>
      </c>
      <c r="G28" s="205">
        <f t="shared" si="23"/>
        <v>154765.53</v>
      </c>
      <c r="H28" s="31" t="s">
        <v>40</v>
      </c>
      <c r="I28" s="211">
        <v>18</v>
      </c>
      <c r="J28" s="29">
        <v>2400</v>
      </c>
      <c r="K28" s="12">
        <f t="shared" si="1"/>
        <v>133.33333333333334</v>
      </c>
      <c r="L28" s="211">
        <v>18</v>
      </c>
      <c r="M28" s="13">
        <f t="shared" si="24"/>
        <v>2286.6233766233763</v>
      </c>
      <c r="N28" s="12">
        <f t="shared" si="3"/>
        <v>127.03463203463201</v>
      </c>
      <c r="O28" s="14">
        <f t="shared" si="4"/>
        <v>0</v>
      </c>
      <c r="P28" s="15">
        <f t="shared" si="5"/>
        <v>-6.2987012987013316</v>
      </c>
      <c r="Q28" s="204">
        <f t="shared" si="6"/>
        <v>0.95275974025973997</v>
      </c>
      <c r="R28" s="616"/>
      <c r="S28" s="32">
        <v>0.1902777777777778</v>
      </c>
      <c r="T28" s="32">
        <v>0.29722222222222228</v>
      </c>
      <c r="U28" s="205">
        <f t="shared" ref="U28:U33" si="26">(S28-T27)*24*60</f>
        <v>28.000000000000021</v>
      </c>
      <c r="V28" s="212">
        <f t="shared" si="25"/>
        <v>154.00000000000003</v>
      </c>
      <c r="W28" s="16"/>
      <c r="X28" s="16"/>
      <c r="Y28" s="16"/>
      <c r="Z28" s="16"/>
      <c r="AA28" s="612"/>
      <c r="AB28" s="612"/>
      <c r="AC28" s="18"/>
      <c r="AD28" s="18"/>
      <c r="AE28" s="14">
        <f t="shared" si="8"/>
        <v>-113.37662337662368</v>
      </c>
      <c r="AF28" s="204">
        <f t="shared" si="9"/>
        <v>0.95275974025974008</v>
      </c>
      <c r="AG28" s="616"/>
    </row>
    <row r="29" spans="1:33" ht="15.75" customHeight="1">
      <c r="A29" s="633" t="s">
        <v>934</v>
      </c>
      <c r="B29" s="27" t="s">
        <v>20</v>
      </c>
      <c r="C29" s="659" t="s">
        <v>57</v>
      </c>
      <c r="D29" s="659"/>
      <c r="E29" s="27">
        <v>26.18</v>
      </c>
      <c r="F29" s="213">
        <v>4100</v>
      </c>
      <c r="G29" s="205">
        <f t="shared" si="23"/>
        <v>107338</v>
      </c>
      <c r="H29" s="31">
        <v>2</v>
      </c>
      <c r="I29" s="211">
        <v>18</v>
      </c>
      <c r="J29" s="29">
        <v>2400</v>
      </c>
      <c r="K29" s="12">
        <f t="shared" si="1"/>
        <v>133.33333333333334</v>
      </c>
      <c r="L29" s="211">
        <v>18</v>
      </c>
      <c r="M29" s="13">
        <f t="shared" si="24"/>
        <v>2299.0654205607475</v>
      </c>
      <c r="N29" s="12">
        <f t="shared" si="3"/>
        <v>127.72585669781931</v>
      </c>
      <c r="O29" s="14">
        <f t="shared" si="4"/>
        <v>0</v>
      </c>
      <c r="P29" s="15">
        <f t="shared" si="5"/>
        <v>-5.6074766355140326</v>
      </c>
      <c r="Q29" s="204">
        <f t="shared" si="6"/>
        <v>0.9579439252336448</v>
      </c>
      <c r="R29" s="616"/>
      <c r="S29" s="32">
        <v>0.30069444444444449</v>
      </c>
      <c r="T29" s="32">
        <v>0.37500000000000006</v>
      </c>
      <c r="U29" s="205">
        <f t="shared" si="26"/>
        <v>4.9999999999999822</v>
      </c>
      <c r="V29" s="212">
        <f t="shared" si="25"/>
        <v>107.00000000000001</v>
      </c>
      <c r="W29" s="16"/>
      <c r="X29" s="16"/>
      <c r="Y29" s="16"/>
      <c r="Z29" s="16"/>
      <c r="AA29" s="612"/>
      <c r="AB29" s="612"/>
      <c r="AC29" s="18"/>
      <c r="AD29" s="18"/>
      <c r="AE29" s="14">
        <f t="shared" si="8"/>
        <v>-100.9345794392525</v>
      </c>
      <c r="AF29" s="204">
        <f t="shared" si="9"/>
        <v>0.9579439252336448</v>
      </c>
      <c r="AG29" s="616"/>
    </row>
    <row r="30" spans="1:33" ht="15.75" customHeight="1">
      <c r="A30" s="633" t="s">
        <v>935</v>
      </c>
      <c r="B30" s="27" t="s">
        <v>20</v>
      </c>
      <c r="C30" s="659" t="s">
        <v>64</v>
      </c>
      <c r="D30" s="659"/>
      <c r="E30" s="27">
        <v>20.21</v>
      </c>
      <c r="F30" s="213">
        <v>2789</v>
      </c>
      <c r="G30" s="205">
        <f t="shared" si="23"/>
        <v>56365.69</v>
      </c>
      <c r="H30" s="31" t="s">
        <v>40</v>
      </c>
      <c r="I30" s="211">
        <v>18</v>
      </c>
      <c r="J30" s="29">
        <v>2400</v>
      </c>
      <c r="K30" s="12">
        <f t="shared" si="1"/>
        <v>133.33333333333334</v>
      </c>
      <c r="L30" s="211">
        <v>18</v>
      </c>
      <c r="M30" s="13">
        <f t="shared" si="24"/>
        <v>2292.3287671232883</v>
      </c>
      <c r="N30" s="12">
        <f t="shared" si="3"/>
        <v>127.35159817351602</v>
      </c>
      <c r="O30" s="14">
        <f t="shared" si="4"/>
        <v>0</v>
      </c>
      <c r="P30" s="15">
        <f t="shared" si="5"/>
        <v>-5.981735159817319</v>
      </c>
      <c r="Q30" s="204">
        <f t="shared" si="6"/>
        <v>0.95513698630137012</v>
      </c>
      <c r="R30" s="616"/>
      <c r="S30" s="32">
        <v>0.37847222222222227</v>
      </c>
      <c r="T30" s="32">
        <v>0.4291666666666667</v>
      </c>
      <c r="U30" s="205">
        <f t="shared" si="26"/>
        <v>4.9999999999999822</v>
      </c>
      <c r="V30" s="212">
        <f t="shared" si="25"/>
        <v>72.999999999999986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-107.67123287671166</v>
      </c>
      <c r="AF30" s="204">
        <f t="shared" si="9"/>
        <v>0.95513698630137012</v>
      </c>
      <c r="AG30" s="616"/>
    </row>
    <row r="31" spans="1:33" ht="15.75" customHeight="1">
      <c r="A31" s="633" t="s">
        <v>374</v>
      </c>
      <c r="B31" s="27" t="s">
        <v>20</v>
      </c>
      <c r="C31" s="659" t="s">
        <v>23</v>
      </c>
      <c r="D31" s="659"/>
      <c r="E31" s="27">
        <v>25.99</v>
      </c>
      <c r="F31" s="213">
        <v>3719</v>
      </c>
      <c r="G31" s="205">
        <f t="shared" si="23"/>
        <v>96656.81</v>
      </c>
      <c r="H31" s="31" t="s">
        <v>40</v>
      </c>
      <c r="I31" s="211">
        <v>14</v>
      </c>
      <c r="J31" s="29">
        <v>2400</v>
      </c>
      <c r="K31" s="12">
        <f t="shared" si="1"/>
        <v>171.42857142857142</v>
      </c>
      <c r="L31" s="211">
        <v>14</v>
      </c>
      <c r="M31" s="13">
        <f t="shared" si="24"/>
        <v>2300.4123711340212</v>
      </c>
      <c r="N31" s="12">
        <f t="shared" si="3"/>
        <v>164.31516936671579</v>
      </c>
      <c r="O31" s="14">
        <f t="shared" si="4"/>
        <v>0</v>
      </c>
      <c r="P31" s="15">
        <f t="shared" si="5"/>
        <v>-7.1134020618556235</v>
      </c>
      <c r="Q31" s="204">
        <f t="shared" si="6"/>
        <v>0.95850515463917552</v>
      </c>
      <c r="R31" s="616"/>
      <c r="S31" s="32">
        <v>0.43402777777777779</v>
      </c>
      <c r="T31" s="32">
        <v>0.50138888888888888</v>
      </c>
      <c r="U31" s="205">
        <f t="shared" si="26"/>
        <v>6.9999999999999751</v>
      </c>
      <c r="V31" s="212">
        <f t="shared" si="25"/>
        <v>96.999999999999972</v>
      </c>
      <c r="W31" s="16">
        <f>T31</f>
        <v>0.50138888888888888</v>
      </c>
      <c r="X31" s="16">
        <f>S32</f>
        <v>0.54166666666666663</v>
      </c>
      <c r="Y31" s="16"/>
      <c r="Z31" s="16"/>
      <c r="AA31" s="612"/>
      <c r="AB31" s="612"/>
      <c r="AC31" s="18"/>
      <c r="AD31" s="18"/>
      <c r="AE31" s="14">
        <f t="shared" si="8"/>
        <v>-99.587628865978786</v>
      </c>
      <c r="AF31" s="204">
        <f t="shared" si="9"/>
        <v>0.95850515463917552</v>
      </c>
      <c r="AG31" s="616"/>
    </row>
    <row r="32" spans="1:33" ht="15.75" customHeight="1">
      <c r="A32" s="633" t="s">
        <v>936</v>
      </c>
      <c r="B32" s="27" t="s">
        <v>20</v>
      </c>
      <c r="C32" s="659" t="s">
        <v>21</v>
      </c>
      <c r="D32" s="659"/>
      <c r="E32" s="27">
        <v>31.29</v>
      </c>
      <c r="F32" s="213">
        <v>3361</v>
      </c>
      <c r="G32" s="205">
        <f t="shared" si="23"/>
        <v>105165.69</v>
      </c>
      <c r="H32" s="31" t="s">
        <v>40</v>
      </c>
      <c r="I32" s="211">
        <v>18</v>
      </c>
      <c r="J32" s="29">
        <v>2400</v>
      </c>
      <c r="K32" s="12">
        <f t="shared" si="1"/>
        <v>133.33333333333334</v>
      </c>
      <c r="L32" s="211">
        <v>18</v>
      </c>
      <c r="M32" s="13">
        <f t="shared" si="24"/>
        <v>2291.590909090909</v>
      </c>
      <c r="N32" s="12">
        <f t="shared" si="3"/>
        <v>127.31060606060606</v>
      </c>
      <c r="O32" s="14">
        <f t="shared" si="4"/>
        <v>0</v>
      </c>
      <c r="P32" s="15">
        <f t="shared" si="5"/>
        <v>-6.0227272727272805</v>
      </c>
      <c r="Q32" s="204">
        <f t="shared" si="6"/>
        <v>0.95482954545454535</v>
      </c>
      <c r="R32" s="616"/>
      <c r="S32" s="32">
        <v>0.54166666666666663</v>
      </c>
      <c r="T32" s="32">
        <v>0.60277777777777775</v>
      </c>
      <c r="U32" s="205">
        <f t="shared" si="26"/>
        <v>57.999999999999957</v>
      </c>
      <c r="V32" s="212">
        <f t="shared" si="25"/>
        <v>88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-108.40909090909099</v>
      </c>
      <c r="AF32" s="204">
        <f t="shared" si="9"/>
        <v>0.95482954545454546</v>
      </c>
      <c r="AG32" s="616"/>
    </row>
    <row r="33" spans="1:33" ht="15.75" customHeight="1">
      <c r="A33" s="633" t="s">
        <v>935</v>
      </c>
      <c r="B33" s="27" t="s">
        <v>20</v>
      </c>
      <c r="C33" s="659" t="s">
        <v>57</v>
      </c>
      <c r="D33" s="659"/>
      <c r="E33" s="27">
        <v>26.18</v>
      </c>
      <c r="F33" s="213">
        <v>3043</v>
      </c>
      <c r="G33" s="205">
        <f t="shared" si="23"/>
        <v>79665.740000000005</v>
      </c>
      <c r="H33" s="31" t="s">
        <v>40</v>
      </c>
      <c r="I33" s="211">
        <v>18</v>
      </c>
      <c r="J33" s="29">
        <v>2400</v>
      </c>
      <c r="K33" s="12">
        <f t="shared" si="1"/>
        <v>133.33333333333334</v>
      </c>
      <c r="L33" s="211">
        <v>18</v>
      </c>
      <c r="M33" s="13">
        <f t="shared" si="24"/>
        <v>2311.139240506328</v>
      </c>
      <c r="N33" s="12">
        <f t="shared" si="3"/>
        <v>128.39662447257376</v>
      </c>
      <c r="O33" s="14">
        <f t="shared" si="4"/>
        <v>0</v>
      </c>
      <c r="P33" s="15">
        <f t="shared" si="5"/>
        <v>-4.9367088607595804</v>
      </c>
      <c r="Q33" s="204">
        <f t="shared" si="6"/>
        <v>0.96297468354430316</v>
      </c>
      <c r="R33" s="616"/>
      <c r="S33" s="32">
        <v>0.6069444444444444</v>
      </c>
      <c r="T33" s="32">
        <v>0.66180555555555554</v>
      </c>
      <c r="U33" s="205">
        <f t="shared" si="26"/>
        <v>5.9999999999999787</v>
      </c>
      <c r="V33" s="212">
        <f t="shared" si="25"/>
        <v>79.000000000000043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-88.860759493672049</v>
      </c>
      <c r="AF33" s="204">
        <f t="shared" si="9"/>
        <v>0.96297468354430327</v>
      </c>
      <c r="AG33" s="616"/>
    </row>
    <row r="34" spans="1:33" ht="15.75" customHeight="1">
      <c r="A34" s="633" t="s">
        <v>936</v>
      </c>
      <c r="B34" s="27" t="s">
        <v>275</v>
      </c>
      <c r="C34" s="658"/>
      <c r="D34" s="658"/>
      <c r="E34" s="206"/>
      <c r="F34" s="213"/>
      <c r="G34" s="205"/>
      <c r="H34" s="213"/>
      <c r="I34" s="21">
        <v>17.428571428571427</v>
      </c>
      <c r="J34" s="29">
        <v>2400</v>
      </c>
      <c r="K34" s="12">
        <f t="shared" si="1"/>
        <v>137.70491803278691</v>
      </c>
      <c r="L34" s="21">
        <v>17.428571428571427</v>
      </c>
      <c r="M34" s="13">
        <f>AVERAGE(M27:M33)</f>
        <v>2295.2677672504224</v>
      </c>
      <c r="N34" s="12">
        <f t="shared" si="3"/>
        <v>131.69569156354885</v>
      </c>
      <c r="O34" s="14">
        <f t="shared" si="4"/>
        <v>0</v>
      </c>
      <c r="P34" s="15">
        <f t="shared" si="5"/>
        <v>-6.0092264692380581</v>
      </c>
      <c r="Q34" s="204">
        <f t="shared" si="6"/>
        <v>0.95636156968767605</v>
      </c>
      <c r="R34" s="616"/>
      <c r="S34" s="32"/>
      <c r="T34" s="32"/>
      <c r="U34" s="205"/>
      <c r="V34" s="212"/>
      <c r="W34" s="205"/>
      <c r="X34" s="205"/>
      <c r="Y34" s="22">
        <f>SUM(Y27:Y33)</f>
        <v>0</v>
      </c>
      <c r="Z34" s="22">
        <f>SUM(Z27:Z33)</f>
        <v>0</v>
      </c>
      <c r="AA34" s="611"/>
      <c r="AB34" s="611"/>
      <c r="AC34" s="22">
        <v>7</v>
      </c>
      <c r="AD34" s="22">
        <f>SUM(AD27:AD33)</f>
        <v>0</v>
      </c>
      <c r="AE34" s="14">
        <f t="shared" si="8"/>
        <v>-104.73223274957763</v>
      </c>
      <c r="AF34" s="204">
        <f t="shared" si="9"/>
        <v>0.95636156968767594</v>
      </c>
      <c r="AG34" s="616"/>
    </row>
    <row r="35" spans="1:33" ht="15.75" customHeight="1">
      <c r="A35" s="629" t="s">
        <v>282</v>
      </c>
      <c r="B35" s="27" t="s">
        <v>20</v>
      </c>
      <c r="C35" s="660" t="s">
        <v>58</v>
      </c>
      <c r="D35" s="660"/>
      <c r="E35" s="27">
        <v>26.18</v>
      </c>
      <c r="F35" s="213">
        <v>5716</v>
      </c>
      <c r="G35" s="205">
        <f t="shared" ref="G35:G41" si="27">E35*F35</f>
        <v>149644.88</v>
      </c>
      <c r="H35" s="31" t="s">
        <v>40</v>
      </c>
      <c r="I35" s="211">
        <v>20</v>
      </c>
      <c r="J35" s="29">
        <v>2400</v>
      </c>
      <c r="K35" s="12">
        <f t="shared" si="1"/>
        <v>120</v>
      </c>
      <c r="L35" s="211">
        <v>20</v>
      </c>
      <c r="M35" s="13">
        <f t="shared" ref="M35:M41" si="28">F35/V35*60</f>
        <v>2286.4</v>
      </c>
      <c r="N35" s="12">
        <f t="shared" si="3"/>
        <v>114.32000000000001</v>
      </c>
      <c r="O35" s="14">
        <f t="shared" si="4"/>
        <v>0</v>
      </c>
      <c r="P35" s="15">
        <f t="shared" si="5"/>
        <v>-5.6799999999999926</v>
      </c>
      <c r="Q35" s="204">
        <f t="shared" si="6"/>
        <v>0.95266666666666677</v>
      </c>
      <c r="R35" s="616">
        <f>Q42</f>
        <v>0.95791503372346942</v>
      </c>
      <c r="S35" s="32">
        <v>8.3333333333333329E-2</v>
      </c>
      <c r="T35" s="32">
        <v>0.1875</v>
      </c>
      <c r="U35" s="205"/>
      <c r="V35" s="212">
        <f t="shared" ref="V35:V41" si="29">(T35-S35)*24*60</f>
        <v>150</v>
      </c>
      <c r="W35" s="20">
        <f>T35</f>
        <v>0.1875</v>
      </c>
      <c r="X35" s="20">
        <f>S36</f>
        <v>0.20694444444444446</v>
      </c>
      <c r="Y35" s="20"/>
      <c r="Z35" s="20"/>
      <c r="AA35" s="612"/>
      <c r="AB35" s="612"/>
      <c r="AC35" s="18">
        <v>7</v>
      </c>
      <c r="AD35" s="18"/>
      <c r="AE35" s="14">
        <f t="shared" si="8"/>
        <v>-113.59999999999991</v>
      </c>
      <c r="AF35" s="204">
        <f t="shared" si="9"/>
        <v>0.95266666666666666</v>
      </c>
      <c r="AG35" s="616">
        <f>AF42</f>
        <v>0.95791503372346931</v>
      </c>
    </row>
    <row r="36" spans="1:33" ht="15.75" customHeight="1">
      <c r="A36" s="629" t="s">
        <v>282</v>
      </c>
      <c r="B36" s="27" t="s">
        <v>20</v>
      </c>
      <c r="C36" s="660" t="s">
        <v>25</v>
      </c>
      <c r="D36" s="660"/>
      <c r="E36" s="27">
        <v>24.43</v>
      </c>
      <c r="F36" s="213">
        <v>3500</v>
      </c>
      <c r="G36" s="205">
        <f t="shared" si="27"/>
        <v>85505</v>
      </c>
      <c r="H36" s="31">
        <v>2</v>
      </c>
      <c r="I36" s="211">
        <v>14</v>
      </c>
      <c r="J36" s="29">
        <v>2400</v>
      </c>
      <c r="K36" s="12">
        <f t="shared" si="1"/>
        <v>171.42857142857142</v>
      </c>
      <c r="L36" s="211">
        <v>14</v>
      </c>
      <c r="M36" s="13">
        <f t="shared" si="28"/>
        <v>2282.6086956521735</v>
      </c>
      <c r="N36" s="12">
        <f t="shared" si="3"/>
        <v>163.04347826086953</v>
      </c>
      <c r="O36" s="14">
        <f t="shared" si="4"/>
        <v>0</v>
      </c>
      <c r="P36" s="15">
        <f t="shared" si="5"/>
        <v>-8.3850931677018821</v>
      </c>
      <c r="Q36" s="204">
        <f t="shared" si="6"/>
        <v>0.95108695652173902</v>
      </c>
      <c r="R36" s="616"/>
      <c r="S36" s="32">
        <v>0.20694444444444446</v>
      </c>
      <c r="T36" s="32">
        <v>0.27083333333333337</v>
      </c>
      <c r="U36" s="205">
        <f t="shared" ref="U36:U41" si="30">(S36-T35)*24*60</f>
        <v>28.000000000000021</v>
      </c>
      <c r="V36" s="212">
        <f t="shared" si="29"/>
        <v>92.000000000000028</v>
      </c>
      <c r="W36" s="205"/>
      <c r="X36" s="205"/>
      <c r="Y36" s="205"/>
      <c r="Z36" s="205"/>
      <c r="AA36" s="612"/>
      <c r="AB36" s="612"/>
      <c r="AC36" s="18"/>
      <c r="AD36" s="18"/>
      <c r="AE36" s="14">
        <f t="shared" si="8"/>
        <v>-117.39130434782646</v>
      </c>
      <c r="AF36" s="204">
        <f t="shared" si="9"/>
        <v>0.95108695652173902</v>
      </c>
      <c r="AG36" s="616"/>
    </row>
    <row r="37" spans="1:33">
      <c r="A37" s="630" t="s">
        <v>937</v>
      </c>
      <c r="B37" s="27" t="s">
        <v>20</v>
      </c>
      <c r="C37" s="660" t="s">
        <v>83</v>
      </c>
      <c r="D37" s="660"/>
      <c r="E37" s="27">
        <v>25.98</v>
      </c>
      <c r="F37" s="213">
        <v>4514</v>
      </c>
      <c r="G37" s="205">
        <f t="shared" si="27"/>
        <v>117273.72</v>
      </c>
      <c r="H37" s="31" t="s">
        <v>40</v>
      </c>
      <c r="I37" s="211">
        <v>20</v>
      </c>
      <c r="J37" s="29">
        <v>2400</v>
      </c>
      <c r="K37" s="12">
        <f t="shared" si="1"/>
        <v>120</v>
      </c>
      <c r="L37" s="211">
        <v>20</v>
      </c>
      <c r="M37" s="13">
        <f t="shared" si="28"/>
        <v>2295.2542372881358</v>
      </c>
      <c r="N37" s="12">
        <f t="shared" si="3"/>
        <v>114.76271186440678</v>
      </c>
      <c r="O37" s="14">
        <f t="shared" si="4"/>
        <v>0</v>
      </c>
      <c r="P37" s="15">
        <f t="shared" si="5"/>
        <v>-5.2372881355932179</v>
      </c>
      <c r="Q37" s="204">
        <f t="shared" si="6"/>
        <v>0.95635593220338988</v>
      </c>
      <c r="R37" s="616"/>
      <c r="S37" s="32">
        <v>0.27500000000000002</v>
      </c>
      <c r="T37" s="32">
        <v>0.35694444444444445</v>
      </c>
      <c r="U37" s="205">
        <f t="shared" si="30"/>
        <v>5.9999999999999787</v>
      </c>
      <c r="V37" s="212">
        <f t="shared" si="29"/>
        <v>117.99999999999999</v>
      </c>
      <c r="W37" s="205"/>
      <c r="X37" s="205"/>
      <c r="Y37" s="205"/>
      <c r="Z37" s="205"/>
      <c r="AA37" s="612"/>
      <c r="AB37" s="612"/>
      <c r="AC37" s="18"/>
      <c r="AD37" s="18"/>
      <c r="AE37" s="14">
        <f t="shared" si="8"/>
        <v>-104.74576271186424</v>
      </c>
      <c r="AF37" s="204">
        <f t="shared" si="9"/>
        <v>0.95635593220338988</v>
      </c>
      <c r="AG37" s="616"/>
    </row>
    <row r="38" spans="1:33">
      <c r="A38" s="630" t="s">
        <v>282</v>
      </c>
      <c r="B38" s="27" t="s">
        <v>20</v>
      </c>
      <c r="C38" s="660" t="s">
        <v>26</v>
      </c>
      <c r="D38" s="660"/>
      <c r="E38" s="27">
        <v>34.1</v>
      </c>
      <c r="F38" s="213">
        <v>3500</v>
      </c>
      <c r="G38" s="205">
        <f t="shared" si="27"/>
        <v>119350</v>
      </c>
      <c r="H38" s="31">
        <v>2</v>
      </c>
      <c r="I38" s="211">
        <v>17</v>
      </c>
      <c r="J38" s="29">
        <v>1600</v>
      </c>
      <c r="K38" s="12">
        <f t="shared" si="1"/>
        <v>94.117647058823536</v>
      </c>
      <c r="L38" s="211">
        <v>17</v>
      </c>
      <c r="M38" s="13">
        <f t="shared" si="28"/>
        <v>1521.7391304347827</v>
      </c>
      <c r="N38" s="12">
        <f t="shared" si="3"/>
        <v>89.514066496163693</v>
      </c>
      <c r="O38" s="14">
        <f t="shared" si="4"/>
        <v>0</v>
      </c>
      <c r="P38" s="15">
        <f t="shared" si="5"/>
        <v>-4.6035805626598432</v>
      </c>
      <c r="Q38" s="204">
        <f t="shared" si="6"/>
        <v>0.95108695652173914</v>
      </c>
      <c r="R38" s="616"/>
      <c r="S38" s="32">
        <v>0.36041666666666666</v>
      </c>
      <c r="T38" s="32">
        <v>0.45624999999999999</v>
      </c>
      <c r="U38" s="205">
        <f t="shared" si="30"/>
        <v>4.9999999999999822</v>
      </c>
      <c r="V38" s="212">
        <f t="shared" si="29"/>
        <v>138</v>
      </c>
      <c r="W38" s="16"/>
      <c r="X38" s="16"/>
      <c r="Y38" s="16"/>
      <c r="Z38" s="16"/>
      <c r="AA38" s="612"/>
      <c r="AB38" s="612"/>
      <c r="AC38" s="18"/>
      <c r="AD38" s="18"/>
      <c r="AE38" s="14">
        <f t="shared" si="8"/>
        <v>-78.260869565217263</v>
      </c>
      <c r="AF38" s="204">
        <f t="shared" si="9"/>
        <v>0.95108695652173925</v>
      </c>
      <c r="AG38" s="616"/>
    </row>
    <row r="39" spans="1:33">
      <c r="A39" s="630" t="s">
        <v>282</v>
      </c>
      <c r="B39" s="27" t="s">
        <v>20</v>
      </c>
      <c r="C39" s="660" t="s">
        <v>59</v>
      </c>
      <c r="D39" s="660"/>
      <c r="E39" s="27">
        <v>25.99</v>
      </c>
      <c r="F39" s="213">
        <v>1474</v>
      </c>
      <c r="G39" s="205">
        <f t="shared" si="27"/>
        <v>38309.259999999995</v>
      </c>
      <c r="H39" s="31" t="s">
        <v>40</v>
      </c>
      <c r="I39" s="211">
        <v>18</v>
      </c>
      <c r="J39" s="29">
        <v>2400</v>
      </c>
      <c r="K39" s="12">
        <f t="shared" si="1"/>
        <v>133.33333333333334</v>
      </c>
      <c r="L39" s="211">
        <v>18</v>
      </c>
      <c r="M39" s="13">
        <f t="shared" si="28"/>
        <v>2327.3684210526299</v>
      </c>
      <c r="N39" s="12">
        <f t="shared" si="3"/>
        <v>129.29824561403498</v>
      </c>
      <c r="O39" s="14">
        <f t="shared" si="4"/>
        <v>0</v>
      </c>
      <c r="P39" s="15">
        <f t="shared" si="5"/>
        <v>-4.0350877192983603</v>
      </c>
      <c r="Q39" s="204">
        <f t="shared" si="6"/>
        <v>0.96973684210526234</v>
      </c>
      <c r="R39" s="616"/>
      <c r="S39" s="32">
        <v>0.46111111111111108</v>
      </c>
      <c r="T39" s="32">
        <v>0.48749999999999999</v>
      </c>
      <c r="U39" s="205">
        <f t="shared" si="30"/>
        <v>6.9999999999999751</v>
      </c>
      <c r="V39" s="212">
        <f t="shared" si="29"/>
        <v>38.000000000000028</v>
      </c>
      <c r="W39" s="16">
        <f>T39</f>
        <v>0.48749999999999999</v>
      </c>
      <c r="X39" s="16">
        <f>S40</f>
        <v>0.52708333333333335</v>
      </c>
      <c r="Y39" s="16"/>
      <c r="Z39" s="16"/>
      <c r="AA39" s="612"/>
      <c r="AB39" s="612"/>
      <c r="AC39" s="18"/>
      <c r="AD39" s="18"/>
      <c r="AE39" s="14">
        <f t="shared" si="8"/>
        <v>-72.631578947370144</v>
      </c>
      <c r="AF39" s="204">
        <f t="shared" si="9"/>
        <v>0.96973684210526245</v>
      </c>
      <c r="AG39" s="616"/>
    </row>
    <row r="40" spans="1:33">
      <c r="A40" s="630" t="s">
        <v>282</v>
      </c>
      <c r="B40" s="27" t="s">
        <v>20</v>
      </c>
      <c r="C40" s="660" t="s">
        <v>25</v>
      </c>
      <c r="D40" s="660"/>
      <c r="E40" s="27">
        <v>24.43</v>
      </c>
      <c r="F40" s="213">
        <v>2741</v>
      </c>
      <c r="G40" s="205">
        <f t="shared" si="27"/>
        <v>66962.63</v>
      </c>
      <c r="H40" s="31" t="s">
        <v>40</v>
      </c>
      <c r="I40" s="211">
        <v>14</v>
      </c>
      <c r="J40" s="29">
        <v>2400</v>
      </c>
      <c r="K40" s="12">
        <f t="shared" si="1"/>
        <v>171.42857142857142</v>
      </c>
      <c r="L40" s="211">
        <v>14</v>
      </c>
      <c r="M40" s="13">
        <f t="shared" si="28"/>
        <v>2316.3380281690115</v>
      </c>
      <c r="N40" s="12">
        <f t="shared" si="3"/>
        <v>165.45271629778654</v>
      </c>
      <c r="O40" s="14">
        <f t="shared" si="4"/>
        <v>0</v>
      </c>
      <c r="P40" s="15">
        <f t="shared" si="5"/>
        <v>-5.9758551307848791</v>
      </c>
      <c r="Q40" s="204">
        <f t="shared" si="6"/>
        <v>0.96514084507042153</v>
      </c>
      <c r="R40" s="616"/>
      <c r="S40" s="32">
        <v>0.52708333333333335</v>
      </c>
      <c r="T40" s="32">
        <v>0.57638888888888895</v>
      </c>
      <c r="U40" s="205">
        <f t="shared" si="30"/>
        <v>57.000000000000036</v>
      </c>
      <c r="V40" s="212">
        <f t="shared" si="29"/>
        <v>71.000000000000071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-83.661971830988477</v>
      </c>
      <c r="AF40" s="204">
        <f t="shared" si="9"/>
        <v>0.96514084507042142</v>
      </c>
      <c r="AG40" s="616"/>
    </row>
    <row r="41" spans="1:33">
      <c r="A41" s="630" t="s">
        <v>938</v>
      </c>
      <c r="B41" s="27" t="s">
        <v>20</v>
      </c>
      <c r="C41" s="660" t="s">
        <v>26</v>
      </c>
      <c r="D41" s="660"/>
      <c r="E41" s="27">
        <v>34.1</v>
      </c>
      <c r="F41" s="213">
        <v>2551</v>
      </c>
      <c r="G41" s="205">
        <f t="shared" si="27"/>
        <v>86989.1</v>
      </c>
      <c r="H41" s="31" t="s">
        <v>40</v>
      </c>
      <c r="I41" s="211">
        <v>17</v>
      </c>
      <c r="J41" s="29">
        <v>1600</v>
      </c>
      <c r="K41" s="12">
        <f t="shared" si="1"/>
        <v>94.117647058823536</v>
      </c>
      <c r="L41" s="211">
        <v>17</v>
      </c>
      <c r="M41" s="13">
        <f t="shared" si="28"/>
        <v>1530.6000000000006</v>
      </c>
      <c r="N41" s="12">
        <f t="shared" si="3"/>
        <v>90.035294117647098</v>
      </c>
      <c r="O41" s="14">
        <f t="shared" si="4"/>
        <v>0</v>
      </c>
      <c r="P41" s="15">
        <f t="shared" si="5"/>
        <v>-4.0823529411764383</v>
      </c>
      <c r="Q41" s="204">
        <f t="shared" si="6"/>
        <v>0.95662500000000039</v>
      </c>
      <c r="R41" s="616"/>
      <c r="S41" s="32">
        <v>0.58194444444444449</v>
      </c>
      <c r="T41" s="32">
        <v>0.65138888888888891</v>
      </c>
      <c r="U41" s="205">
        <f t="shared" si="30"/>
        <v>7.9999999999999716</v>
      </c>
      <c r="V41" s="212">
        <f t="shared" si="29"/>
        <v>99.999999999999972</v>
      </c>
      <c r="W41" s="16"/>
      <c r="X41" s="16"/>
      <c r="Y41" s="19"/>
      <c r="Z41" s="19"/>
      <c r="AA41" s="607"/>
      <c r="AB41" s="608"/>
      <c r="AC41" s="18"/>
      <c r="AD41" s="18"/>
      <c r="AE41" s="14">
        <f t="shared" si="8"/>
        <v>-69.399999999999409</v>
      </c>
      <c r="AF41" s="204">
        <f t="shared" si="9"/>
        <v>0.95662500000000039</v>
      </c>
      <c r="AG41" s="616"/>
    </row>
    <row r="42" spans="1:33">
      <c r="A42" s="630" t="s">
        <v>937</v>
      </c>
      <c r="B42" s="28" t="s">
        <v>275</v>
      </c>
      <c r="C42" s="658"/>
      <c r="D42" s="658"/>
      <c r="E42" s="206"/>
      <c r="F42" s="28"/>
      <c r="G42" s="12"/>
      <c r="H42" s="213"/>
      <c r="I42" s="21">
        <v>17.142857142857142</v>
      </c>
      <c r="J42" s="29">
        <v>2171.4285714285716</v>
      </c>
      <c r="K42" s="12">
        <f t="shared" si="1"/>
        <v>126.66666666666667</v>
      </c>
      <c r="L42" s="21">
        <v>17.142857142857142</v>
      </c>
      <c r="M42" s="13">
        <f>AVERAGE(M35:M41)</f>
        <v>2080.0440732281049</v>
      </c>
      <c r="N42" s="12">
        <f t="shared" si="3"/>
        <v>121.33590427163946</v>
      </c>
      <c r="O42" s="14">
        <f t="shared" si="4"/>
        <v>0</v>
      </c>
      <c r="P42" s="15">
        <f t="shared" si="5"/>
        <v>-5.3307623950272074</v>
      </c>
      <c r="Q42" s="204">
        <f t="shared" si="6"/>
        <v>0.95791503372346942</v>
      </c>
      <c r="R42" s="616"/>
      <c r="S42" s="32"/>
      <c r="T42" s="32"/>
      <c r="U42" s="12"/>
      <c r="V42" s="212"/>
      <c r="W42" s="12"/>
      <c r="X42" s="12"/>
      <c r="Y42" s="22">
        <f>SUM(Y35:Y41)</f>
        <v>0</v>
      </c>
      <c r="Z42" s="22">
        <f>SUM(Z35:Z41)</f>
        <v>0</v>
      </c>
      <c r="AA42" s="611"/>
      <c r="AB42" s="611"/>
      <c r="AC42" s="22">
        <v>7</v>
      </c>
      <c r="AD42" s="22">
        <f>SUM(AD35:AD41)</f>
        <v>0</v>
      </c>
      <c r="AE42" s="14">
        <f t="shared" si="8"/>
        <v>-91.384498200466624</v>
      </c>
      <c r="AF42" s="204">
        <f t="shared" si="9"/>
        <v>0.95791503372346931</v>
      </c>
      <c r="AG42" s="616"/>
    </row>
    <row r="43" spans="1:33" ht="15.75" customHeight="1">
      <c r="A43" s="623" t="s">
        <v>939</v>
      </c>
      <c r="B43" s="27" t="s">
        <v>27</v>
      </c>
      <c r="C43" s="605" t="s">
        <v>33</v>
      </c>
      <c r="D43" s="606"/>
      <c r="E43" s="27">
        <v>34.36</v>
      </c>
      <c r="F43" s="213">
        <v>2208</v>
      </c>
      <c r="G43" s="205">
        <f t="shared" ref="G43:G46" si="31">E43*F43</f>
        <v>75866.880000000005</v>
      </c>
      <c r="H43" s="31" t="s">
        <v>40</v>
      </c>
      <c r="I43" s="211">
        <v>10</v>
      </c>
      <c r="J43" s="29">
        <v>3000</v>
      </c>
      <c r="K43" s="12">
        <f t="shared" si="1"/>
        <v>300</v>
      </c>
      <c r="L43" s="211">
        <v>10</v>
      </c>
      <c r="M43" s="13">
        <f t="shared" ref="M43:M46" si="32">F43/V43*60</f>
        <v>2880</v>
      </c>
      <c r="N43" s="13">
        <f t="shared" si="3"/>
        <v>288</v>
      </c>
      <c r="O43" s="14">
        <f t="shared" si="4"/>
        <v>0</v>
      </c>
      <c r="P43" s="15">
        <f t="shared" si="5"/>
        <v>-12</v>
      </c>
      <c r="Q43" s="204">
        <f t="shared" si="6"/>
        <v>0.96</v>
      </c>
      <c r="R43" s="626">
        <f>Q47</f>
        <v>0.95614081152918406</v>
      </c>
      <c r="S43" s="32">
        <v>0.20833333333333334</v>
      </c>
      <c r="T43" s="32">
        <v>0.24027777777777778</v>
      </c>
      <c r="U43" s="20"/>
      <c r="V43" s="212">
        <f t="shared" ref="V43:V46" si="33">(T43-S43)*24*60</f>
        <v>46</v>
      </c>
      <c r="W43" s="16"/>
      <c r="X43" s="16"/>
      <c r="Y43" s="19"/>
      <c r="Z43" s="19"/>
      <c r="AA43" s="607"/>
      <c r="AB43" s="608"/>
      <c r="AC43" s="18">
        <v>4</v>
      </c>
      <c r="AD43" s="18"/>
      <c r="AE43" s="14">
        <f t="shared" si="8"/>
        <v>-120</v>
      </c>
      <c r="AF43" s="204">
        <f t="shared" si="9"/>
        <v>0.96</v>
      </c>
      <c r="AG43" s="626">
        <f>AF47</f>
        <v>0.95614081152918395</v>
      </c>
    </row>
    <row r="44" spans="1:33" ht="15.75" customHeight="1">
      <c r="A44" s="624" t="s">
        <v>75</v>
      </c>
      <c r="B44" s="27" t="s">
        <v>27</v>
      </c>
      <c r="C44" s="605" t="s">
        <v>29</v>
      </c>
      <c r="D44" s="606"/>
      <c r="E44" s="27">
        <v>21.13</v>
      </c>
      <c r="F44" s="213">
        <v>4633</v>
      </c>
      <c r="G44" s="205">
        <f t="shared" si="31"/>
        <v>97895.29</v>
      </c>
      <c r="H44" s="31" t="s">
        <v>40</v>
      </c>
      <c r="I44" s="211">
        <v>10</v>
      </c>
      <c r="J44" s="29">
        <v>3000</v>
      </c>
      <c r="K44" s="12">
        <f t="shared" si="1"/>
        <v>300</v>
      </c>
      <c r="L44" s="211">
        <v>10</v>
      </c>
      <c r="M44" s="13">
        <f t="shared" si="32"/>
        <v>2865.7731958762893</v>
      </c>
      <c r="N44" s="13">
        <f t="shared" si="3"/>
        <v>286.57731958762895</v>
      </c>
      <c r="O44" s="14">
        <f t="shared" si="4"/>
        <v>0</v>
      </c>
      <c r="P44" s="15">
        <f t="shared" si="5"/>
        <v>-13.422680412371051</v>
      </c>
      <c r="Q44" s="204">
        <f t="shared" si="6"/>
        <v>0.95525773195876318</v>
      </c>
      <c r="R44" s="627"/>
      <c r="S44" s="32">
        <v>0.24583333333333335</v>
      </c>
      <c r="T44" s="32">
        <v>0.31319444444444444</v>
      </c>
      <c r="U44" s="205">
        <f t="shared" ref="U44:U46" si="34">(S44-T43)*24*60</f>
        <v>8.0000000000000107</v>
      </c>
      <c r="V44" s="212">
        <f t="shared" si="33"/>
        <v>96.999999999999972</v>
      </c>
      <c r="W44" s="16"/>
      <c r="X44" s="16"/>
      <c r="Y44" s="19"/>
      <c r="Z44" s="19"/>
      <c r="AA44" s="607"/>
      <c r="AB44" s="608"/>
      <c r="AC44" s="18"/>
      <c r="AD44" s="18"/>
      <c r="AE44" s="14">
        <f t="shared" si="8"/>
        <v>-134.22680412371074</v>
      </c>
      <c r="AF44" s="204">
        <f t="shared" si="9"/>
        <v>0.95525773195876307</v>
      </c>
      <c r="AG44" s="627"/>
    </row>
    <row r="45" spans="1:33" ht="15.75" customHeight="1">
      <c r="A45" s="624" t="s">
        <v>75</v>
      </c>
      <c r="B45" s="27" t="s">
        <v>27</v>
      </c>
      <c r="C45" s="605" t="s">
        <v>30</v>
      </c>
      <c r="D45" s="606"/>
      <c r="E45" s="27">
        <v>27.17</v>
      </c>
      <c r="F45" s="213">
        <v>5232</v>
      </c>
      <c r="G45" s="205">
        <f t="shared" si="31"/>
        <v>142153.44</v>
      </c>
      <c r="H45" s="31" t="s">
        <v>40</v>
      </c>
      <c r="I45" s="211">
        <v>10</v>
      </c>
      <c r="J45" s="29">
        <v>3000</v>
      </c>
      <c r="K45" s="12">
        <f t="shared" si="1"/>
        <v>300</v>
      </c>
      <c r="L45" s="211">
        <v>10</v>
      </c>
      <c r="M45" s="13">
        <f t="shared" si="32"/>
        <v>2853.8181818181815</v>
      </c>
      <c r="N45" s="13">
        <f t="shared" si="3"/>
        <v>285.38181818181818</v>
      </c>
      <c r="O45" s="14">
        <f t="shared" si="4"/>
        <v>0</v>
      </c>
      <c r="P45" s="15">
        <f t="shared" si="5"/>
        <v>-14.618181818181824</v>
      </c>
      <c r="Q45" s="204">
        <f t="shared" si="6"/>
        <v>0.95127272727272727</v>
      </c>
      <c r="R45" s="627"/>
      <c r="S45" s="32">
        <v>0.31805555555555554</v>
      </c>
      <c r="T45" s="32">
        <v>0.39444444444444443</v>
      </c>
      <c r="U45" s="205">
        <f t="shared" si="34"/>
        <v>6.9999999999999751</v>
      </c>
      <c r="V45" s="212">
        <f t="shared" si="33"/>
        <v>110.00000000000001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-146.18181818181847</v>
      </c>
      <c r="AF45" s="204">
        <f t="shared" si="9"/>
        <v>0.95127272727272716</v>
      </c>
      <c r="AG45" s="627"/>
    </row>
    <row r="46" spans="1:33" ht="15.75" customHeight="1">
      <c r="A46" s="624" t="s">
        <v>940</v>
      </c>
      <c r="B46" s="27" t="s">
        <v>27</v>
      </c>
      <c r="C46" s="605" t="s">
        <v>35</v>
      </c>
      <c r="D46" s="606"/>
      <c r="E46" s="27">
        <v>35.869999999999997</v>
      </c>
      <c r="F46" s="213">
        <v>2922</v>
      </c>
      <c r="G46" s="205">
        <f t="shared" si="31"/>
        <v>104812.14</v>
      </c>
      <c r="H46" s="31" t="s">
        <v>40</v>
      </c>
      <c r="I46" s="211">
        <v>9</v>
      </c>
      <c r="J46" s="29">
        <v>3000</v>
      </c>
      <c r="K46" s="12">
        <f t="shared" si="1"/>
        <v>333.33333333333331</v>
      </c>
      <c r="L46" s="211">
        <v>9</v>
      </c>
      <c r="M46" s="13">
        <f t="shared" si="32"/>
        <v>2874.0983606557365</v>
      </c>
      <c r="N46" s="13">
        <f t="shared" si="3"/>
        <v>319.34426229508182</v>
      </c>
      <c r="O46" s="14">
        <f t="shared" si="4"/>
        <v>0</v>
      </c>
      <c r="P46" s="15">
        <f t="shared" si="5"/>
        <v>-13.989071038251495</v>
      </c>
      <c r="Q46" s="204">
        <f t="shared" si="6"/>
        <v>0.95803278688524551</v>
      </c>
      <c r="R46" s="627"/>
      <c r="S46" s="32">
        <v>0.39930555555555552</v>
      </c>
      <c r="T46" s="32">
        <v>0.44166666666666665</v>
      </c>
      <c r="U46" s="205">
        <f t="shared" si="34"/>
        <v>6.9999999999999751</v>
      </c>
      <c r="V46" s="212">
        <f t="shared" si="33"/>
        <v>61.000000000000021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-125.90163934426346</v>
      </c>
      <c r="AF46" s="204">
        <f t="shared" si="9"/>
        <v>0.95803278688524551</v>
      </c>
      <c r="AG46" s="627"/>
    </row>
    <row r="47" spans="1:33" ht="15.75" customHeight="1">
      <c r="A47" s="625" t="s">
        <v>941</v>
      </c>
      <c r="B47" s="27" t="s">
        <v>275</v>
      </c>
      <c r="C47" s="609"/>
      <c r="D47" s="610"/>
      <c r="E47" s="202"/>
      <c r="F47" s="213"/>
      <c r="G47" s="205"/>
      <c r="H47" s="213"/>
      <c r="I47" s="21">
        <v>9.75</v>
      </c>
      <c r="J47" s="29">
        <v>3000</v>
      </c>
      <c r="K47" s="12">
        <f t="shared" si="1"/>
        <v>307.69230769230768</v>
      </c>
      <c r="L47" s="21">
        <v>9.75</v>
      </c>
      <c r="M47" s="13">
        <f>AVERAGE(M43:M46)</f>
        <v>2868.4224345875518</v>
      </c>
      <c r="N47" s="12">
        <f t="shared" si="3"/>
        <v>294.19717277821047</v>
      </c>
      <c r="O47" s="14">
        <f t="shared" si="4"/>
        <v>0</v>
      </c>
      <c r="P47" s="15">
        <f t="shared" si="5"/>
        <v>-13.495134914097207</v>
      </c>
      <c r="Q47" s="204">
        <f t="shared" si="6"/>
        <v>0.95614081152918406</v>
      </c>
      <c r="R47" s="628"/>
      <c r="S47" s="32"/>
      <c r="T47" s="32"/>
      <c r="U47" s="205"/>
      <c r="V47" s="212"/>
      <c r="W47" s="16"/>
      <c r="X47" s="16"/>
      <c r="Y47" s="22">
        <f>SUM(Y43:Y46)</f>
        <v>0</v>
      </c>
      <c r="Z47" s="22">
        <f>SUM(Z43:Z46)</f>
        <v>0</v>
      </c>
      <c r="AA47" s="619"/>
      <c r="AB47" s="620"/>
      <c r="AC47" s="22">
        <v>4</v>
      </c>
      <c r="AD47" s="22">
        <f>SUM(AD43:AD46)</f>
        <v>0</v>
      </c>
      <c r="AE47" s="14">
        <f t="shared" si="8"/>
        <v>-131.57756541244817</v>
      </c>
      <c r="AF47" s="204">
        <f t="shared" si="9"/>
        <v>0.95614081152918395</v>
      </c>
      <c r="AG47" s="628"/>
    </row>
    <row r="48" spans="1:33" ht="15.75" customHeight="1">
      <c r="A48" s="621" t="s">
        <v>71</v>
      </c>
      <c r="B48" s="27" t="s">
        <v>5</v>
      </c>
      <c r="C48" s="660" t="s">
        <v>15</v>
      </c>
      <c r="D48" s="660"/>
      <c r="E48" s="27">
        <v>59.04</v>
      </c>
      <c r="F48" s="30">
        <v>2429</v>
      </c>
      <c r="G48" s="205">
        <f t="shared" ref="G48:G54" si="35">E48*F48</f>
        <v>143408.16</v>
      </c>
      <c r="H48" s="31" t="s">
        <v>40</v>
      </c>
      <c r="I48" s="211">
        <v>19</v>
      </c>
      <c r="J48" s="29">
        <v>2000</v>
      </c>
      <c r="K48" s="12">
        <f t="shared" si="1"/>
        <v>105.26315789473684</v>
      </c>
      <c r="L48" s="211">
        <v>19</v>
      </c>
      <c r="M48" s="13">
        <f t="shared" ref="M48" si="36">F48/V48*60</f>
        <v>1917.6315789473681</v>
      </c>
      <c r="N48" s="13">
        <f t="shared" si="3"/>
        <v>100.92797783933516</v>
      </c>
      <c r="O48" s="14">
        <f t="shared" si="4"/>
        <v>0</v>
      </c>
      <c r="P48" s="15">
        <f t="shared" si="5"/>
        <v>-4.3351800554016791</v>
      </c>
      <c r="Q48" s="204">
        <f t="shared" si="6"/>
        <v>0.95881578947368407</v>
      </c>
      <c r="R48" s="616">
        <f>Q55</f>
        <v>0.96269017216976216</v>
      </c>
      <c r="S48" s="32">
        <v>0.20833333333333334</v>
      </c>
      <c r="T48" s="32">
        <v>0.26111111111111113</v>
      </c>
      <c r="U48" s="20"/>
      <c r="V48" s="212">
        <f t="shared" ref="V48:V54" si="37">(T48-S48)*24*60</f>
        <v>76.000000000000014</v>
      </c>
      <c r="W48" s="16"/>
      <c r="X48" s="16"/>
      <c r="Y48" s="20"/>
      <c r="Z48" s="20"/>
      <c r="AA48" s="612"/>
      <c r="AB48" s="612"/>
      <c r="AC48" s="18">
        <v>7</v>
      </c>
      <c r="AD48" s="18"/>
      <c r="AE48" s="14">
        <f t="shared" si="8"/>
        <v>-82.368421052631902</v>
      </c>
      <c r="AF48" s="204">
        <f t="shared" si="9"/>
        <v>0.95881578947368407</v>
      </c>
      <c r="AG48" s="616">
        <f>AF55</f>
        <v>0.96269017216976216</v>
      </c>
    </row>
    <row r="49" spans="1:33" ht="15.75" customHeight="1">
      <c r="A49" s="621" t="s">
        <v>71</v>
      </c>
      <c r="B49" s="27" t="s">
        <v>5</v>
      </c>
      <c r="C49" s="660" t="s">
        <v>31</v>
      </c>
      <c r="D49" s="660"/>
      <c r="E49" s="27">
        <v>56.43</v>
      </c>
      <c r="F49" s="30">
        <v>1328</v>
      </c>
      <c r="G49" s="205">
        <f t="shared" si="35"/>
        <v>74939.039999999994</v>
      </c>
      <c r="H49" s="31" t="s">
        <v>40</v>
      </c>
      <c r="I49" s="211">
        <v>22</v>
      </c>
      <c r="J49" s="29">
        <v>2000</v>
      </c>
      <c r="K49" s="12">
        <f t="shared" si="1"/>
        <v>90.909090909090907</v>
      </c>
      <c r="L49" s="211">
        <v>22</v>
      </c>
      <c r="M49" s="13">
        <f>F49/V49*60</f>
        <v>1943.4146341463406</v>
      </c>
      <c r="N49" s="13">
        <f t="shared" si="3"/>
        <v>88.337028824833666</v>
      </c>
      <c r="O49" s="14">
        <f t="shared" si="4"/>
        <v>0</v>
      </c>
      <c r="P49" s="15">
        <f t="shared" si="5"/>
        <v>-2.5720620842572401</v>
      </c>
      <c r="Q49" s="204">
        <f t="shared" si="6"/>
        <v>0.97170731707317037</v>
      </c>
      <c r="R49" s="616"/>
      <c r="S49" s="32">
        <v>0.26597222222222222</v>
      </c>
      <c r="T49" s="32">
        <v>0.29444444444444445</v>
      </c>
      <c r="U49" s="205">
        <f t="shared" ref="U49:U54" si="38">IF(S49=TIME(17,0,0),"",(S49-T48)*24*60)</f>
        <v>6.9999999999999751</v>
      </c>
      <c r="V49" s="212">
        <f t="shared" si="37"/>
        <v>41.000000000000014</v>
      </c>
      <c r="W49" s="16"/>
      <c r="X49" s="16"/>
      <c r="Y49" s="16"/>
      <c r="Z49" s="16"/>
      <c r="AA49" s="612"/>
      <c r="AB49" s="612"/>
      <c r="AC49" s="18"/>
      <c r="AD49" s="18"/>
      <c r="AE49" s="14">
        <f t="shared" si="8"/>
        <v>-56.585365853659368</v>
      </c>
      <c r="AF49" s="204">
        <f t="shared" si="9"/>
        <v>0.97170731707317026</v>
      </c>
      <c r="AG49" s="616"/>
    </row>
    <row r="50" spans="1:33" ht="15.75" customHeight="1">
      <c r="A50" s="621" t="s">
        <v>942</v>
      </c>
      <c r="B50" s="27" t="s">
        <v>8</v>
      </c>
      <c r="C50" s="605" t="s">
        <v>61</v>
      </c>
      <c r="D50" s="606"/>
      <c r="E50" s="27">
        <v>46</v>
      </c>
      <c r="F50" s="30">
        <v>2211</v>
      </c>
      <c r="G50" s="205">
        <f t="shared" si="35"/>
        <v>101706</v>
      </c>
      <c r="H50" s="31" t="s">
        <v>40</v>
      </c>
      <c r="I50" s="211">
        <v>16</v>
      </c>
      <c r="J50" s="29">
        <v>2000</v>
      </c>
      <c r="K50" s="12">
        <f t="shared" si="1"/>
        <v>125</v>
      </c>
      <c r="L50" s="211">
        <v>16</v>
      </c>
      <c r="M50" s="13">
        <f t="shared" ref="M50:M54" si="39">F50/V50*60</f>
        <v>1922.6086956521738</v>
      </c>
      <c r="N50" s="13">
        <f t="shared" si="3"/>
        <v>120.16304347826086</v>
      </c>
      <c r="O50" s="14">
        <f t="shared" si="4"/>
        <v>0</v>
      </c>
      <c r="P50" s="15">
        <f t="shared" si="5"/>
        <v>-4.8369565217391397</v>
      </c>
      <c r="Q50" s="204">
        <f t="shared" si="6"/>
        <v>0.96130434782608687</v>
      </c>
      <c r="R50" s="616"/>
      <c r="S50" s="32">
        <v>0.3</v>
      </c>
      <c r="T50" s="32">
        <v>0.34791666666666665</v>
      </c>
      <c r="U50" s="205">
        <f t="shared" si="38"/>
        <v>7.9999999999999716</v>
      </c>
      <c r="V50" s="212">
        <f t="shared" si="37"/>
        <v>69</v>
      </c>
      <c r="W50" s="16"/>
      <c r="X50" s="16"/>
      <c r="Y50" s="19"/>
      <c r="Z50" s="19"/>
      <c r="AA50" s="612"/>
      <c r="AB50" s="612"/>
      <c r="AC50" s="18"/>
      <c r="AD50" s="18"/>
      <c r="AE50" s="14">
        <f t="shared" si="8"/>
        <v>-77.391304347826235</v>
      </c>
      <c r="AF50" s="204">
        <f t="shared" si="9"/>
        <v>0.96130434782608687</v>
      </c>
      <c r="AG50" s="616"/>
    </row>
    <row r="51" spans="1:33" ht="15.75" customHeight="1">
      <c r="A51" s="621" t="s">
        <v>71</v>
      </c>
      <c r="B51" s="27" t="s">
        <v>8</v>
      </c>
      <c r="C51" s="207" t="s">
        <v>79</v>
      </c>
      <c r="D51" s="208"/>
      <c r="E51" s="27">
        <v>46</v>
      </c>
      <c r="F51" s="30">
        <v>2873</v>
      </c>
      <c r="G51" s="205">
        <f t="shared" si="35"/>
        <v>132158</v>
      </c>
      <c r="H51" s="31" t="s">
        <v>40</v>
      </c>
      <c r="I51" s="211">
        <v>17</v>
      </c>
      <c r="J51" s="29">
        <v>2000</v>
      </c>
      <c r="K51" s="12">
        <f t="shared" si="1"/>
        <v>117.64705882352941</v>
      </c>
      <c r="L51" s="211">
        <v>17</v>
      </c>
      <c r="M51" s="13">
        <f t="shared" si="39"/>
        <v>1915.3333333333333</v>
      </c>
      <c r="N51" s="13">
        <f t="shared" si="3"/>
        <v>112.66666666666666</v>
      </c>
      <c r="O51" s="14">
        <f t="shared" si="4"/>
        <v>0</v>
      </c>
      <c r="P51" s="15">
        <f t="shared" si="5"/>
        <v>-4.9803921568627487</v>
      </c>
      <c r="Q51" s="204">
        <f t="shared" si="6"/>
        <v>0.95766666666666667</v>
      </c>
      <c r="R51" s="616"/>
      <c r="S51" s="32">
        <v>0.35138888888888886</v>
      </c>
      <c r="T51" s="32">
        <v>0.41388888888888886</v>
      </c>
      <c r="U51" s="205">
        <f t="shared" si="38"/>
        <v>4.9999999999999822</v>
      </c>
      <c r="V51" s="212">
        <f t="shared" si="37"/>
        <v>90</v>
      </c>
      <c r="W51" s="16"/>
      <c r="X51" s="16"/>
      <c r="Y51" s="19"/>
      <c r="Z51" s="19"/>
      <c r="AA51" s="612"/>
      <c r="AB51" s="612"/>
      <c r="AC51" s="18"/>
      <c r="AD51" s="18"/>
      <c r="AE51" s="14">
        <f t="shared" si="8"/>
        <v>-84.666666666666742</v>
      </c>
      <c r="AF51" s="204">
        <f t="shared" si="9"/>
        <v>0.95766666666666667</v>
      </c>
      <c r="AG51" s="616"/>
    </row>
    <row r="52" spans="1:33" ht="15.75" customHeight="1">
      <c r="A52" s="621" t="s">
        <v>943</v>
      </c>
      <c r="B52" s="27" t="s">
        <v>5</v>
      </c>
      <c r="C52" s="207" t="s">
        <v>32</v>
      </c>
      <c r="D52" s="208"/>
      <c r="E52" s="27">
        <v>55.56</v>
      </c>
      <c r="F52" s="30">
        <v>2327</v>
      </c>
      <c r="G52" s="205">
        <f t="shared" si="35"/>
        <v>129288.12000000001</v>
      </c>
      <c r="H52" s="31" t="s">
        <v>40</v>
      </c>
      <c r="I52" s="211">
        <v>17</v>
      </c>
      <c r="J52" s="29">
        <v>2000</v>
      </c>
      <c r="K52" s="12">
        <f t="shared" si="1"/>
        <v>117.64705882352941</v>
      </c>
      <c r="L52" s="211">
        <v>17</v>
      </c>
      <c r="M52" s="13">
        <f t="shared" si="39"/>
        <v>1912.6027397260259</v>
      </c>
      <c r="N52" s="13">
        <f t="shared" si="3"/>
        <v>112.50604351329564</v>
      </c>
      <c r="O52" s="14">
        <f t="shared" si="4"/>
        <v>0</v>
      </c>
      <c r="P52" s="15">
        <f t="shared" si="5"/>
        <v>-5.1410153102337688</v>
      </c>
      <c r="Q52" s="204">
        <f t="shared" si="6"/>
        <v>0.95630136986301295</v>
      </c>
      <c r="R52" s="616"/>
      <c r="S52" s="32">
        <v>0.70833333333333337</v>
      </c>
      <c r="T52" s="32">
        <v>0.75902777777777786</v>
      </c>
      <c r="U52" s="205" t="str">
        <f t="shared" si="38"/>
        <v/>
      </c>
      <c r="V52" s="212">
        <f t="shared" si="37"/>
        <v>73.000000000000057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-87.397260273974098</v>
      </c>
      <c r="AF52" s="204">
        <f t="shared" si="9"/>
        <v>0.95630136986301295</v>
      </c>
      <c r="AG52" s="616"/>
    </row>
    <row r="53" spans="1:33" ht="15.75" customHeight="1">
      <c r="A53" s="621" t="s">
        <v>944</v>
      </c>
      <c r="B53" s="27" t="s">
        <v>5</v>
      </c>
      <c r="C53" s="605" t="s">
        <v>77</v>
      </c>
      <c r="D53" s="606"/>
      <c r="E53" s="27">
        <v>54.09</v>
      </c>
      <c r="F53" s="30">
        <v>1350</v>
      </c>
      <c r="G53" s="205">
        <f t="shared" si="35"/>
        <v>73021.5</v>
      </c>
      <c r="H53" s="31" t="s">
        <v>40</v>
      </c>
      <c r="I53" s="211">
        <v>13</v>
      </c>
      <c r="J53" s="29">
        <v>2000</v>
      </c>
      <c r="K53" s="12">
        <f t="shared" si="1"/>
        <v>153.84615384615384</v>
      </c>
      <c r="L53" s="211">
        <v>13</v>
      </c>
      <c r="M53" s="13">
        <f t="shared" si="39"/>
        <v>1928.571428571428</v>
      </c>
      <c r="N53" s="13">
        <f t="shared" si="3"/>
        <v>148.35164835164829</v>
      </c>
      <c r="O53" s="14">
        <f t="shared" si="4"/>
        <v>0</v>
      </c>
      <c r="P53" s="15">
        <f t="shared" si="5"/>
        <v>-5.494505494505546</v>
      </c>
      <c r="Q53" s="204">
        <f t="shared" si="6"/>
        <v>0.96428571428571397</v>
      </c>
      <c r="R53" s="616"/>
      <c r="S53" s="32">
        <v>0.76458333333333339</v>
      </c>
      <c r="T53" s="32">
        <v>0.79375000000000007</v>
      </c>
      <c r="U53" s="205">
        <f t="shared" si="38"/>
        <v>7.9999999999999716</v>
      </c>
      <c r="V53" s="212">
        <f t="shared" si="37"/>
        <v>42.000000000000014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-71.428571428572013</v>
      </c>
      <c r="AF53" s="204">
        <f t="shared" si="9"/>
        <v>0.96428571428571397</v>
      </c>
      <c r="AG53" s="616"/>
    </row>
    <row r="54" spans="1:33" ht="15.75" customHeight="1">
      <c r="A54" s="621" t="s">
        <v>945</v>
      </c>
      <c r="B54" s="27" t="s">
        <v>5</v>
      </c>
      <c r="C54" s="605" t="s">
        <v>65</v>
      </c>
      <c r="D54" s="606"/>
      <c r="E54" s="27">
        <v>56.43</v>
      </c>
      <c r="F54" s="30">
        <v>1550</v>
      </c>
      <c r="G54" s="205">
        <f t="shared" si="35"/>
        <v>87466.5</v>
      </c>
      <c r="H54" s="31" t="s">
        <v>40</v>
      </c>
      <c r="I54" s="211">
        <v>13</v>
      </c>
      <c r="J54" s="29">
        <v>2000</v>
      </c>
      <c r="K54" s="12">
        <f t="shared" si="1"/>
        <v>153.84615384615384</v>
      </c>
      <c r="L54" s="211">
        <v>13</v>
      </c>
      <c r="M54" s="13">
        <f t="shared" si="39"/>
        <v>1937.5000000000007</v>
      </c>
      <c r="N54" s="13">
        <f t="shared" si="3"/>
        <v>149.0384615384616</v>
      </c>
      <c r="O54" s="14">
        <f t="shared" si="4"/>
        <v>0</v>
      </c>
      <c r="P54" s="15">
        <f t="shared" si="5"/>
        <v>-4.8076923076922355</v>
      </c>
      <c r="Q54" s="204">
        <f t="shared" si="6"/>
        <v>0.96875000000000044</v>
      </c>
      <c r="R54" s="616"/>
      <c r="S54" s="32">
        <v>0.7993055555555556</v>
      </c>
      <c r="T54" s="32">
        <v>0.83263888888888893</v>
      </c>
      <c r="U54" s="205">
        <f t="shared" si="38"/>
        <v>7.9999999999999716</v>
      </c>
      <c r="V54" s="212">
        <f t="shared" si="37"/>
        <v>47.999999999999986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-62.499999999999318</v>
      </c>
      <c r="AF54" s="204">
        <f t="shared" si="9"/>
        <v>0.96875000000000033</v>
      </c>
      <c r="AG54" s="616"/>
    </row>
    <row r="55" spans="1:33">
      <c r="A55" s="622" t="s">
        <v>71</v>
      </c>
      <c r="B55" s="27" t="s">
        <v>275</v>
      </c>
      <c r="C55" s="658"/>
      <c r="D55" s="658"/>
      <c r="E55" s="206"/>
      <c r="F55" s="28"/>
      <c r="G55" s="12"/>
      <c r="H55" s="213"/>
      <c r="I55" s="21">
        <v>16.714285714285715</v>
      </c>
      <c r="J55" s="29">
        <v>2000</v>
      </c>
      <c r="K55" s="12">
        <f t="shared" si="1"/>
        <v>119.65811965811965</v>
      </c>
      <c r="L55" s="21">
        <v>16.714285714285715</v>
      </c>
      <c r="M55" s="13">
        <f>AVERAGE(M48:M54)</f>
        <v>1925.3803443395243</v>
      </c>
      <c r="N55" s="12">
        <f t="shared" si="3"/>
        <v>115.19369581518521</v>
      </c>
      <c r="O55" s="14">
        <f t="shared" si="4"/>
        <v>0</v>
      </c>
      <c r="P55" s="15">
        <f t="shared" si="5"/>
        <v>-4.4644238429344369</v>
      </c>
      <c r="Q55" s="204">
        <f t="shared" si="6"/>
        <v>0.96269017216976216</v>
      </c>
      <c r="R55" s="616"/>
      <c r="S55" s="32"/>
      <c r="T55" s="32"/>
      <c r="U55" s="205"/>
      <c r="V55" s="212"/>
      <c r="W55" s="12"/>
      <c r="X55" s="12"/>
      <c r="Y55" s="22">
        <f>SUM(Y48:Y54)</f>
        <v>0</v>
      </c>
      <c r="Z55" s="22">
        <f>SUM(Z48:Z54)</f>
        <v>0</v>
      </c>
      <c r="AA55" s="611"/>
      <c r="AB55" s="611"/>
      <c r="AC55" s="22">
        <v>7</v>
      </c>
      <c r="AD55" s="22">
        <f>SUM(AD48:AD54)</f>
        <v>0</v>
      </c>
      <c r="AE55" s="14">
        <f>M55-J55</f>
        <v>-74.619655660475701</v>
      </c>
      <c r="AF55" s="204">
        <f t="shared" si="9"/>
        <v>0.96269017216976216</v>
      </c>
      <c r="AG55" s="616"/>
    </row>
    <row r="56" spans="1:33" ht="15.75" customHeight="1">
      <c r="A56" s="617" t="s">
        <v>285</v>
      </c>
      <c r="B56" s="213" t="s">
        <v>27</v>
      </c>
      <c r="C56" s="660" t="s">
        <v>28</v>
      </c>
      <c r="D56" s="660"/>
      <c r="E56" s="27">
        <v>35.119999999999997</v>
      </c>
      <c r="F56" s="30">
        <v>4459</v>
      </c>
      <c r="G56" s="205">
        <f t="shared" ref="G56:G59" si="40">E56*F56</f>
        <v>156600.07999999999</v>
      </c>
      <c r="H56" s="31" t="s">
        <v>40</v>
      </c>
      <c r="I56" s="211">
        <v>10</v>
      </c>
      <c r="J56" s="29">
        <v>3000</v>
      </c>
      <c r="K56" s="12">
        <f t="shared" si="1"/>
        <v>300</v>
      </c>
      <c r="L56" s="211">
        <v>10</v>
      </c>
      <c r="M56" s="13">
        <f t="shared" ref="M56:M59" si="41">F56/V56*60</f>
        <v>2876.7741935483864</v>
      </c>
      <c r="N56" s="12">
        <f t="shared" si="3"/>
        <v>287.67741935483866</v>
      </c>
      <c r="O56" s="14">
        <f t="shared" si="4"/>
        <v>0</v>
      </c>
      <c r="P56" s="15">
        <f t="shared" si="5"/>
        <v>-12.322580645161338</v>
      </c>
      <c r="Q56" s="204">
        <f t="shared" si="6"/>
        <v>0.95892473118279553</v>
      </c>
      <c r="R56" s="616">
        <f>Q60</f>
        <v>0.96135486004437609</v>
      </c>
      <c r="S56" s="32">
        <v>0.20833333333333334</v>
      </c>
      <c r="T56" s="32">
        <v>0.2729166666666667</v>
      </c>
      <c r="U56" s="205"/>
      <c r="V56" s="212">
        <f t="shared" ref="V56:V59" si="42">(T56-S56)*24*60</f>
        <v>93.000000000000028</v>
      </c>
      <c r="W56" s="16"/>
      <c r="X56" s="16"/>
      <c r="Y56" s="20"/>
      <c r="Z56" s="20"/>
      <c r="AA56" s="612"/>
      <c r="AB56" s="612"/>
      <c r="AC56" s="18">
        <v>4</v>
      </c>
      <c r="AD56" s="18"/>
      <c r="AE56" s="14">
        <f t="shared" ref="AE56:AE68" si="43">M56-J56</f>
        <v>-123.22580645161361</v>
      </c>
      <c r="AF56" s="204">
        <f t="shared" si="9"/>
        <v>0.95892473118279542</v>
      </c>
      <c r="AG56" s="616">
        <f>AF60</f>
        <v>0.96135486004437598</v>
      </c>
    </row>
    <row r="57" spans="1:33" ht="15.75" customHeight="1">
      <c r="A57" s="617" t="s">
        <v>285</v>
      </c>
      <c r="B57" s="213" t="s">
        <v>27</v>
      </c>
      <c r="C57" s="660" t="s">
        <v>34</v>
      </c>
      <c r="D57" s="660"/>
      <c r="E57" s="27">
        <v>26.78</v>
      </c>
      <c r="F57" s="30">
        <v>2600</v>
      </c>
      <c r="G57" s="205">
        <f t="shared" si="40"/>
        <v>69628</v>
      </c>
      <c r="H57" s="31" t="s">
        <v>40</v>
      </c>
      <c r="I57" s="211">
        <v>10</v>
      </c>
      <c r="J57" s="29">
        <v>3000</v>
      </c>
      <c r="K57" s="12">
        <f t="shared" si="1"/>
        <v>300</v>
      </c>
      <c r="L57" s="211">
        <v>10</v>
      </c>
      <c r="M57" s="13">
        <f t="shared" si="41"/>
        <v>2888.8888888888905</v>
      </c>
      <c r="N57" s="12">
        <f t="shared" si="3"/>
        <v>288.88888888888903</v>
      </c>
      <c r="O57" s="14">
        <f t="shared" si="4"/>
        <v>0</v>
      </c>
      <c r="P57" s="15">
        <f t="shared" si="5"/>
        <v>-11.111111111110972</v>
      </c>
      <c r="Q57" s="204">
        <f t="shared" si="6"/>
        <v>0.96296296296296346</v>
      </c>
      <c r="R57" s="616"/>
      <c r="S57" s="32">
        <v>0.27638888888888891</v>
      </c>
      <c r="T57" s="32">
        <v>0.31388888888888888</v>
      </c>
      <c r="U57" s="205">
        <f t="shared" ref="U57:U59" si="44">(S57-T56)*24*60</f>
        <v>4.9999999999999822</v>
      </c>
      <c r="V57" s="212">
        <f t="shared" si="42"/>
        <v>53.999999999999972</v>
      </c>
      <c r="W57" s="205"/>
      <c r="X57" s="205"/>
      <c r="Y57" s="205"/>
      <c r="Z57" s="205"/>
      <c r="AA57" s="612"/>
      <c r="AB57" s="612"/>
      <c r="AC57" s="18"/>
      <c r="AD57" s="18"/>
      <c r="AE57" s="14">
        <f t="shared" si="43"/>
        <v>-111.11111111110949</v>
      </c>
      <c r="AF57" s="204">
        <f t="shared" si="9"/>
        <v>0.96296296296296346</v>
      </c>
      <c r="AG57" s="616"/>
    </row>
    <row r="58" spans="1:33" ht="15.75" customHeight="1">
      <c r="A58" s="617" t="s">
        <v>946</v>
      </c>
      <c r="B58" s="213" t="s">
        <v>27</v>
      </c>
      <c r="C58" s="660" t="s">
        <v>36</v>
      </c>
      <c r="D58" s="660"/>
      <c r="E58" s="27">
        <v>34.35</v>
      </c>
      <c r="F58" s="30">
        <v>1744</v>
      </c>
      <c r="G58" s="205">
        <f t="shared" si="40"/>
        <v>59906.400000000001</v>
      </c>
      <c r="H58" s="31" t="s">
        <v>40</v>
      </c>
      <c r="I58" s="211">
        <v>8</v>
      </c>
      <c r="J58" s="29">
        <v>3000</v>
      </c>
      <c r="K58" s="12">
        <f t="shared" si="1"/>
        <v>375</v>
      </c>
      <c r="L58" s="211">
        <v>8</v>
      </c>
      <c r="M58" s="13">
        <f t="shared" si="41"/>
        <v>2906.6666666666642</v>
      </c>
      <c r="N58" s="12">
        <f t="shared" si="3"/>
        <v>363.33333333333303</v>
      </c>
      <c r="O58" s="14">
        <f t="shared" si="4"/>
        <v>0</v>
      </c>
      <c r="P58" s="15">
        <f t="shared" si="5"/>
        <v>-11.66666666666697</v>
      </c>
      <c r="Q58" s="204">
        <f t="shared" si="6"/>
        <v>0.96888888888888813</v>
      </c>
      <c r="R58" s="616"/>
      <c r="S58" s="32">
        <v>0.31874999999999998</v>
      </c>
      <c r="T58" s="32">
        <v>0.34375</v>
      </c>
      <c r="U58" s="205">
        <f t="shared" si="44"/>
        <v>6.9999999999999751</v>
      </c>
      <c r="V58" s="212">
        <f t="shared" si="42"/>
        <v>36.000000000000028</v>
      </c>
      <c r="W58" s="205"/>
      <c r="X58" s="205"/>
      <c r="Y58" s="205"/>
      <c r="Z58" s="205"/>
      <c r="AA58" s="612"/>
      <c r="AB58" s="612"/>
      <c r="AC58" s="18"/>
      <c r="AD58" s="18"/>
      <c r="AE58" s="14">
        <f t="shared" si="43"/>
        <v>-93.333333333335759</v>
      </c>
      <c r="AF58" s="204">
        <f t="shared" si="9"/>
        <v>0.96888888888888813</v>
      </c>
      <c r="AG58" s="616"/>
    </row>
    <row r="59" spans="1:33" ht="15.75" customHeight="1">
      <c r="A59" s="617" t="s">
        <v>285</v>
      </c>
      <c r="B59" s="213" t="s">
        <v>27</v>
      </c>
      <c r="C59" s="660" t="s">
        <v>737</v>
      </c>
      <c r="D59" s="660"/>
      <c r="E59" s="27">
        <v>36.14</v>
      </c>
      <c r="F59" s="30">
        <v>5346</v>
      </c>
      <c r="G59" s="205">
        <f t="shared" si="40"/>
        <v>193204.44</v>
      </c>
      <c r="H59" s="31" t="s">
        <v>40</v>
      </c>
      <c r="I59" s="211">
        <v>11</v>
      </c>
      <c r="J59" s="29">
        <v>3000</v>
      </c>
      <c r="K59" s="12">
        <f t="shared" si="1"/>
        <v>272.72727272727275</v>
      </c>
      <c r="L59" s="211">
        <v>11</v>
      </c>
      <c r="M59" s="13">
        <f t="shared" si="41"/>
        <v>2863.9285714285711</v>
      </c>
      <c r="N59" s="12">
        <f t="shared" si="3"/>
        <v>260.35714285714283</v>
      </c>
      <c r="O59" s="14">
        <f t="shared" si="4"/>
        <v>0</v>
      </c>
      <c r="P59" s="15">
        <f t="shared" si="5"/>
        <v>-12.370129870129915</v>
      </c>
      <c r="Q59" s="204">
        <f t="shared" si="6"/>
        <v>0.95464285714285702</v>
      </c>
      <c r="R59" s="616"/>
      <c r="S59" s="32">
        <v>0.34930555555555554</v>
      </c>
      <c r="T59" s="32">
        <v>0.42708333333333331</v>
      </c>
      <c r="U59" s="205">
        <f t="shared" si="44"/>
        <v>7.9999999999999716</v>
      </c>
      <c r="V59" s="212">
        <f t="shared" si="42"/>
        <v>112</v>
      </c>
      <c r="W59" s="205"/>
      <c r="X59" s="205"/>
      <c r="Y59" s="205"/>
      <c r="Z59" s="205"/>
      <c r="AA59" s="612"/>
      <c r="AB59" s="612"/>
      <c r="AC59" s="18"/>
      <c r="AD59" s="18"/>
      <c r="AE59" s="14">
        <f t="shared" si="43"/>
        <v>-136.0714285714289</v>
      </c>
      <c r="AF59" s="204">
        <f t="shared" si="9"/>
        <v>0.95464285714285702</v>
      </c>
      <c r="AG59" s="616"/>
    </row>
    <row r="60" spans="1:33">
      <c r="A60" s="618" t="s">
        <v>947</v>
      </c>
      <c r="B60" s="27" t="s">
        <v>275</v>
      </c>
      <c r="C60" s="658"/>
      <c r="D60" s="658"/>
      <c r="E60" s="206"/>
      <c r="F60" s="28"/>
      <c r="G60" s="12"/>
      <c r="H60" s="213"/>
      <c r="I60" s="21">
        <v>9.75</v>
      </c>
      <c r="J60" s="29">
        <v>3000</v>
      </c>
      <c r="K60" s="12">
        <f t="shared" si="1"/>
        <v>307.69230769230768</v>
      </c>
      <c r="L60" s="21">
        <v>9.75</v>
      </c>
      <c r="M60" s="13">
        <f>AVERAGE(M56:M59)</f>
        <v>2884.0645801331279</v>
      </c>
      <c r="N60" s="12">
        <f t="shared" si="3"/>
        <v>295.80149539826954</v>
      </c>
      <c r="O60" s="14">
        <f t="shared" si="4"/>
        <v>0</v>
      </c>
      <c r="P60" s="15">
        <f t="shared" si="5"/>
        <v>-11.890812294038142</v>
      </c>
      <c r="Q60" s="204">
        <f t="shared" si="6"/>
        <v>0.96135486004437609</v>
      </c>
      <c r="R60" s="616"/>
      <c r="S60" s="32"/>
      <c r="T60" s="32"/>
      <c r="U60" s="12"/>
      <c r="V60" s="212"/>
      <c r="W60" s="12"/>
      <c r="X60" s="12"/>
      <c r="Y60" s="22">
        <f>SUM(Y56:Y59)</f>
        <v>0</v>
      </c>
      <c r="Z60" s="22">
        <f>SUM(Z56:Z59)</f>
        <v>0</v>
      </c>
      <c r="AA60" s="611"/>
      <c r="AB60" s="611"/>
      <c r="AC60" s="22">
        <v>4</v>
      </c>
      <c r="AD60" s="22">
        <f>SUM(AD56:AD59)</f>
        <v>0</v>
      </c>
      <c r="AE60" s="14">
        <f t="shared" si="43"/>
        <v>-115.93541986687205</v>
      </c>
      <c r="AF60" s="204">
        <f t="shared" si="9"/>
        <v>0.96135486004437598</v>
      </c>
      <c r="AG60" s="616"/>
    </row>
    <row r="61" spans="1:33" ht="15.75" customHeight="1">
      <c r="A61" s="613" t="s">
        <v>948</v>
      </c>
      <c r="B61" s="213" t="s">
        <v>20</v>
      </c>
      <c r="C61" s="660" t="s">
        <v>39</v>
      </c>
      <c r="D61" s="660"/>
      <c r="E61" s="27">
        <v>19.02</v>
      </c>
      <c r="F61" s="213">
        <v>5000</v>
      </c>
      <c r="G61" s="205">
        <f t="shared" ref="G61:G67" si="45">E61*F61</f>
        <v>95100</v>
      </c>
      <c r="H61" s="31">
        <v>2</v>
      </c>
      <c r="I61" s="211">
        <v>14</v>
      </c>
      <c r="J61" s="29">
        <v>2400</v>
      </c>
      <c r="K61" s="12">
        <f t="shared" si="1"/>
        <v>171.42857142857142</v>
      </c>
      <c r="L61" s="211">
        <v>14</v>
      </c>
      <c r="M61" s="13">
        <f t="shared" ref="M61:M67" si="46">F61/V61*60</f>
        <v>2290.0763358778627</v>
      </c>
      <c r="N61" s="12">
        <f t="shared" si="3"/>
        <v>163.57688113413306</v>
      </c>
      <c r="O61" s="14">
        <f t="shared" si="4"/>
        <v>0</v>
      </c>
      <c r="P61" s="15">
        <f t="shared" si="5"/>
        <v>-7.851690294438356</v>
      </c>
      <c r="Q61" s="204">
        <f t="shared" si="6"/>
        <v>0.95419847328244289</v>
      </c>
      <c r="R61" s="616">
        <f>Q68</f>
        <v>0.95427102475675063</v>
      </c>
      <c r="S61" s="32">
        <v>8.3333333333333329E-2</v>
      </c>
      <c r="T61" s="32">
        <v>0.17430555555555555</v>
      </c>
      <c r="U61" s="20"/>
      <c r="V61" s="212">
        <f t="shared" ref="V61:V67" si="47">(T61-S61)*24*60</f>
        <v>131</v>
      </c>
      <c r="W61" s="16">
        <f>T61</f>
        <v>0.17430555555555555</v>
      </c>
      <c r="X61" s="16">
        <f>S62</f>
        <v>0.19236111111111109</v>
      </c>
      <c r="Y61" s="16"/>
      <c r="Z61" s="16"/>
      <c r="AA61" s="612"/>
      <c r="AB61" s="612"/>
      <c r="AC61" s="18">
        <v>7</v>
      </c>
      <c r="AD61" s="18"/>
      <c r="AE61" s="14">
        <f t="shared" si="43"/>
        <v>-109.92366412213732</v>
      </c>
      <c r="AF61" s="204">
        <f t="shared" si="9"/>
        <v>0.95419847328244278</v>
      </c>
      <c r="AG61" s="616">
        <f>AF68</f>
        <v>0.95427102475675063</v>
      </c>
    </row>
    <row r="62" spans="1:33" ht="15.75" customHeight="1">
      <c r="A62" s="614" t="s">
        <v>73</v>
      </c>
      <c r="B62" s="213" t="s">
        <v>20</v>
      </c>
      <c r="C62" s="660" t="s">
        <v>24</v>
      </c>
      <c r="D62" s="660"/>
      <c r="E62" s="27">
        <v>20.36</v>
      </c>
      <c r="F62" s="213">
        <v>4142</v>
      </c>
      <c r="G62" s="205">
        <f t="shared" si="45"/>
        <v>84331.12</v>
      </c>
      <c r="H62" s="31" t="s">
        <v>40</v>
      </c>
      <c r="I62" s="211">
        <v>17</v>
      </c>
      <c r="J62" s="29">
        <v>2400</v>
      </c>
      <c r="K62" s="12">
        <f t="shared" si="1"/>
        <v>141.1764705882353</v>
      </c>
      <c r="L62" s="211">
        <v>17</v>
      </c>
      <c r="M62" s="13">
        <f t="shared" si="46"/>
        <v>2301.1111111111109</v>
      </c>
      <c r="N62" s="12">
        <f t="shared" si="3"/>
        <v>135.359477124183</v>
      </c>
      <c r="O62" s="14">
        <f t="shared" si="4"/>
        <v>0</v>
      </c>
      <c r="P62" s="15">
        <f t="shared" si="5"/>
        <v>-5.8169934640523024</v>
      </c>
      <c r="Q62" s="204">
        <f t="shared" si="6"/>
        <v>0.95879629629629615</v>
      </c>
      <c r="R62" s="616"/>
      <c r="S62" s="32">
        <v>0.19236111111111109</v>
      </c>
      <c r="T62" s="32">
        <v>0.2673611111111111</v>
      </c>
      <c r="U62" s="205">
        <f t="shared" ref="U62:U67" si="48">(S62-T61)*24*60</f>
        <v>25.999999999999986</v>
      </c>
      <c r="V62" s="212">
        <f t="shared" si="47"/>
        <v>108.00000000000001</v>
      </c>
      <c r="W62" s="16"/>
      <c r="X62" s="16"/>
      <c r="Y62" s="16"/>
      <c r="Z62" s="16"/>
      <c r="AA62" s="612"/>
      <c r="AB62" s="612"/>
      <c r="AC62" s="18"/>
      <c r="AD62" s="18"/>
      <c r="AE62" s="14">
        <f t="shared" si="43"/>
        <v>-98.888888888889142</v>
      </c>
      <c r="AF62" s="204">
        <f t="shared" si="9"/>
        <v>0.95879629629629615</v>
      </c>
      <c r="AG62" s="616"/>
    </row>
    <row r="63" spans="1:33" ht="15.75" customHeight="1">
      <c r="A63" s="614" t="s">
        <v>73</v>
      </c>
      <c r="B63" s="213" t="s">
        <v>20</v>
      </c>
      <c r="C63" s="660" t="s">
        <v>38</v>
      </c>
      <c r="D63" s="660"/>
      <c r="E63" s="27">
        <v>22.69</v>
      </c>
      <c r="F63" s="213">
        <v>2559</v>
      </c>
      <c r="G63" s="205">
        <f t="shared" si="45"/>
        <v>58063.710000000006</v>
      </c>
      <c r="H63" s="31" t="s">
        <v>40</v>
      </c>
      <c r="I63" s="211">
        <v>15</v>
      </c>
      <c r="J63" s="29">
        <v>2400</v>
      </c>
      <c r="K63" s="12">
        <f t="shared" si="1"/>
        <v>160</v>
      </c>
      <c r="L63" s="211">
        <v>15</v>
      </c>
      <c r="M63" s="13">
        <f t="shared" si="46"/>
        <v>2291.6417910447763</v>
      </c>
      <c r="N63" s="12">
        <f t="shared" si="3"/>
        <v>152.77611940298507</v>
      </c>
      <c r="O63" s="14">
        <f t="shared" si="4"/>
        <v>0</v>
      </c>
      <c r="P63" s="15">
        <f t="shared" si="5"/>
        <v>-7.2238805970149258</v>
      </c>
      <c r="Q63" s="204">
        <f t="shared" si="6"/>
        <v>0.95485074626865674</v>
      </c>
      <c r="R63" s="616"/>
      <c r="S63" s="32">
        <v>0.27083333333333331</v>
      </c>
      <c r="T63" s="32">
        <v>0.31736111111111109</v>
      </c>
      <c r="U63" s="205">
        <f t="shared" si="48"/>
        <v>4.9999999999999822</v>
      </c>
      <c r="V63" s="212">
        <f t="shared" si="47"/>
        <v>67</v>
      </c>
      <c r="W63" s="16"/>
      <c r="X63" s="16"/>
      <c r="Y63" s="16"/>
      <c r="Z63" s="16"/>
      <c r="AA63" s="612"/>
      <c r="AB63" s="612"/>
      <c r="AC63" s="18"/>
      <c r="AD63" s="18"/>
      <c r="AE63" s="14">
        <f t="shared" si="43"/>
        <v>-108.35820895522374</v>
      </c>
      <c r="AF63" s="204">
        <f t="shared" si="9"/>
        <v>0.95485074626865674</v>
      </c>
      <c r="AG63" s="616"/>
    </row>
    <row r="64" spans="1:33" ht="15.75" customHeight="1">
      <c r="A64" s="614" t="s">
        <v>949</v>
      </c>
      <c r="B64" s="213" t="s">
        <v>20</v>
      </c>
      <c r="C64" s="660" t="s">
        <v>80</v>
      </c>
      <c r="D64" s="660"/>
      <c r="E64" s="27">
        <v>25.98</v>
      </c>
      <c r="F64" s="213">
        <v>3877</v>
      </c>
      <c r="G64" s="205">
        <f t="shared" si="45"/>
        <v>100724.46</v>
      </c>
      <c r="H64" s="31" t="s">
        <v>40</v>
      </c>
      <c r="I64" s="211">
        <v>17</v>
      </c>
      <c r="J64" s="29">
        <v>2400</v>
      </c>
      <c r="K64" s="12">
        <f t="shared" si="1"/>
        <v>141.1764705882353</v>
      </c>
      <c r="L64" s="211">
        <v>17</v>
      </c>
      <c r="M64" s="13">
        <f t="shared" si="46"/>
        <v>2280.5882352941185</v>
      </c>
      <c r="N64" s="12">
        <f t="shared" si="3"/>
        <v>134.15224913494814</v>
      </c>
      <c r="O64" s="14">
        <f t="shared" si="4"/>
        <v>0</v>
      </c>
      <c r="P64" s="15">
        <f t="shared" si="5"/>
        <v>-7.0242214532871685</v>
      </c>
      <c r="Q64" s="204">
        <f t="shared" si="6"/>
        <v>0.95024509803921586</v>
      </c>
      <c r="R64" s="616"/>
      <c r="S64" s="32">
        <v>0.3208333333333333</v>
      </c>
      <c r="T64" s="32">
        <v>0.39166666666666661</v>
      </c>
      <c r="U64" s="205">
        <f t="shared" si="48"/>
        <v>4.9999999999999822</v>
      </c>
      <c r="V64" s="212">
        <f t="shared" si="47"/>
        <v>101.99999999999996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-119.41176470588152</v>
      </c>
      <c r="AF64" s="204">
        <f t="shared" si="9"/>
        <v>0.95024509803921609</v>
      </c>
      <c r="AG64" s="616"/>
    </row>
    <row r="65" spans="1:33" ht="15.75" customHeight="1">
      <c r="A65" s="614" t="s">
        <v>73</v>
      </c>
      <c r="B65" s="213" t="s">
        <v>20</v>
      </c>
      <c r="C65" s="660" t="s">
        <v>739</v>
      </c>
      <c r="D65" s="660"/>
      <c r="E65" s="27">
        <v>28.29</v>
      </c>
      <c r="F65" s="213">
        <v>4500</v>
      </c>
      <c r="G65" s="205">
        <f t="shared" si="45"/>
        <v>127305</v>
      </c>
      <c r="H65" s="31">
        <v>2</v>
      </c>
      <c r="I65" s="211">
        <v>21</v>
      </c>
      <c r="J65" s="29">
        <v>2400</v>
      </c>
      <c r="K65" s="12">
        <f t="shared" si="1"/>
        <v>114.28571428571429</v>
      </c>
      <c r="L65" s="211">
        <v>21</v>
      </c>
      <c r="M65" s="13">
        <f t="shared" si="46"/>
        <v>2288.1355932203396</v>
      </c>
      <c r="N65" s="12">
        <f t="shared" si="3"/>
        <v>108.95883777239712</v>
      </c>
      <c r="O65" s="14">
        <f t="shared" si="4"/>
        <v>0</v>
      </c>
      <c r="P65" s="15">
        <f t="shared" si="5"/>
        <v>-5.326876513317174</v>
      </c>
      <c r="Q65" s="204">
        <f t="shared" si="6"/>
        <v>0.9533898305084747</v>
      </c>
      <c r="R65" s="616"/>
      <c r="S65" s="32">
        <v>0.39513888888888882</v>
      </c>
      <c r="T65" s="32">
        <v>0.47708333333333325</v>
      </c>
      <c r="U65" s="205">
        <f t="shared" si="48"/>
        <v>4.9999999999999822</v>
      </c>
      <c r="V65" s="212">
        <f t="shared" si="47"/>
        <v>117.99999999999999</v>
      </c>
      <c r="W65" s="16">
        <f>T65</f>
        <v>0.47708333333333325</v>
      </c>
      <c r="X65" s="16">
        <f>S66</f>
        <v>0.51874999999999993</v>
      </c>
      <c r="Y65" s="16"/>
      <c r="Z65" s="16"/>
      <c r="AA65" s="612"/>
      <c r="AB65" s="612"/>
      <c r="AC65" s="18"/>
      <c r="AD65" s="18"/>
      <c r="AE65" s="14">
        <f t="shared" si="43"/>
        <v>-111.86440677966038</v>
      </c>
      <c r="AF65" s="204">
        <f t="shared" si="9"/>
        <v>0.95338983050847481</v>
      </c>
      <c r="AG65" s="616"/>
    </row>
    <row r="66" spans="1:33" ht="15.75" customHeight="1">
      <c r="A66" s="614" t="s">
        <v>73</v>
      </c>
      <c r="B66" s="213" t="s">
        <v>20</v>
      </c>
      <c r="C66" s="660" t="s">
        <v>39</v>
      </c>
      <c r="D66" s="660"/>
      <c r="E66" s="27">
        <v>19.02</v>
      </c>
      <c r="F66" s="213">
        <v>3936</v>
      </c>
      <c r="G66" s="205">
        <f t="shared" si="45"/>
        <v>74862.720000000001</v>
      </c>
      <c r="H66" s="31" t="s">
        <v>40</v>
      </c>
      <c r="I66" s="211">
        <v>14</v>
      </c>
      <c r="J66" s="29">
        <v>2400</v>
      </c>
      <c r="K66" s="12">
        <f t="shared" si="1"/>
        <v>171.42857142857142</v>
      </c>
      <c r="L66" s="211">
        <v>14</v>
      </c>
      <c r="M66" s="13">
        <f t="shared" si="46"/>
        <v>2292.8155339805835</v>
      </c>
      <c r="N66" s="12">
        <f t="shared" si="3"/>
        <v>163.77253814147025</v>
      </c>
      <c r="O66" s="14">
        <f t="shared" si="4"/>
        <v>0</v>
      </c>
      <c r="P66" s="15">
        <f t="shared" si="5"/>
        <v>-7.6560332871011667</v>
      </c>
      <c r="Q66" s="204">
        <f t="shared" si="6"/>
        <v>0.95533980582524314</v>
      </c>
      <c r="R66" s="616"/>
      <c r="S66" s="32">
        <v>0.51874999999999993</v>
      </c>
      <c r="T66" s="32">
        <v>0.59027777777777768</v>
      </c>
      <c r="U66" s="205">
        <f t="shared" si="48"/>
        <v>60.000000000000028</v>
      </c>
      <c r="V66" s="212">
        <f t="shared" si="47"/>
        <v>102.99999999999996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-107.1844660194165</v>
      </c>
      <c r="AF66" s="204">
        <f t="shared" si="9"/>
        <v>0.95533980582524314</v>
      </c>
      <c r="AG66" s="616"/>
    </row>
    <row r="67" spans="1:33" ht="15.75" customHeight="1">
      <c r="A67" s="614" t="s">
        <v>73</v>
      </c>
      <c r="B67" s="213" t="s">
        <v>20</v>
      </c>
      <c r="C67" s="605" t="s">
        <v>739</v>
      </c>
      <c r="D67" s="606"/>
      <c r="E67" s="27">
        <v>28.29</v>
      </c>
      <c r="F67" s="213">
        <v>2478</v>
      </c>
      <c r="G67" s="205">
        <f t="shared" si="45"/>
        <v>70102.62</v>
      </c>
      <c r="H67" s="31" t="s">
        <v>40</v>
      </c>
      <c r="I67" s="211">
        <v>21</v>
      </c>
      <c r="J67" s="29">
        <v>2400</v>
      </c>
      <c r="K67" s="12">
        <f t="shared" si="1"/>
        <v>114.28571428571429</v>
      </c>
      <c r="L67" s="211">
        <v>21</v>
      </c>
      <c r="M67" s="13">
        <f t="shared" si="46"/>
        <v>2287.384615384618</v>
      </c>
      <c r="N67" s="12">
        <f t="shared" si="3"/>
        <v>108.92307692307705</v>
      </c>
      <c r="O67" s="14">
        <f t="shared" si="4"/>
        <v>0</v>
      </c>
      <c r="P67" s="15">
        <f t="shared" si="5"/>
        <v>-5.3626373626372441</v>
      </c>
      <c r="Q67" s="204">
        <f t="shared" si="6"/>
        <v>0.95307692307692415</v>
      </c>
      <c r="R67" s="616"/>
      <c r="S67" s="32">
        <v>0.59583333333333321</v>
      </c>
      <c r="T67" s="32">
        <v>0.64097222222222205</v>
      </c>
      <c r="U67" s="205">
        <f t="shared" si="48"/>
        <v>7.9999999999999716</v>
      </c>
      <c r="V67" s="212">
        <f t="shared" si="47"/>
        <v>64.999999999999929</v>
      </c>
      <c r="W67" s="16"/>
      <c r="X67" s="16"/>
      <c r="Y67" s="19"/>
      <c r="Z67" s="19"/>
      <c r="AA67" s="607"/>
      <c r="AB67" s="608"/>
      <c r="AC67" s="18"/>
      <c r="AD67" s="18"/>
      <c r="AE67" s="14">
        <f t="shared" si="43"/>
        <v>-112.61538461538203</v>
      </c>
      <c r="AF67" s="204">
        <f t="shared" si="9"/>
        <v>0.95307692307692415</v>
      </c>
      <c r="AG67" s="616"/>
    </row>
    <row r="68" spans="1:33" ht="16.5" customHeight="1">
      <c r="A68" s="615" t="s">
        <v>73</v>
      </c>
      <c r="B68" s="27" t="s">
        <v>950</v>
      </c>
      <c r="C68" s="609"/>
      <c r="D68" s="610"/>
      <c r="E68" s="206"/>
      <c r="F68" s="28"/>
      <c r="G68" s="12"/>
      <c r="H68" s="213"/>
      <c r="I68" s="21">
        <v>17</v>
      </c>
      <c r="J68" s="29">
        <v>2400</v>
      </c>
      <c r="K68" s="12">
        <f t="shared" si="1"/>
        <v>141.1764705882353</v>
      </c>
      <c r="L68" s="21">
        <v>17</v>
      </c>
      <c r="M68" s="13">
        <f>AVERAGE(M61:M67)</f>
        <v>2290.2504594162015</v>
      </c>
      <c r="N68" s="12">
        <f t="shared" si="3"/>
        <v>134.72061525977657</v>
      </c>
      <c r="O68" s="14">
        <f t="shared" si="4"/>
        <v>0</v>
      </c>
      <c r="P68" s="15">
        <f t="shared" si="5"/>
        <v>-6.455855328458739</v>
      </c>
      <c r="Q68" s="204">
        <f t="shared" si="6"/>
        <v>0.95427102475675063</v>
      </c>
      <c r="R68" s="616"/>
      <c r="S68" s="32"/>
      <c r="T68" s="32"/>
      <c r="U68" s="12"/>
      <c r="V68" s="212"/>
      <c r="W68" s="12"/>
      <c r="X68" s="12"/>
      <c r="Y68" s="22">
        <f>SUM(Y61:Y67)</f>
        <v>0</v>
      </c>
      <c r="Z68" s="22">
        <f>SUM(Z61:Z67)</f>
        <v>0</v>
      </c>
      <c r="AA68" s="611"/>
      <c r="AB68" s="611"/>
      <c r="AC68" s="22">
        <v>7</v>
      </c>
      <c r="AD68" s="22">
        <f>SUM(AD61:AD67)</f>
        <v>0</v>
      </c>
      <c r="AE68" s="14">
        <f t="shared" si="43"/>
        <v>-109.74954058379853</v>
      </c>
      <c r="AF68" s="204">
        <f t="shared" si="9"/>
        <v>0.95427102475675063</v>
      </c>
      <c r="AG68" s="616"/>
    </row>
    <row r="69" spans="1:33">
      <c r="D69" s="23"/>
      <c r="E69" s="23"/>
    </row>
  </sheetData>
  <mergeCells count="185">
    <mergeCell ref="AG61:AG68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8"/>
    <mergeCell ref="C61:D61"/>
    <mergeCell ref="R61:R68"/>
    <mergeCell ref="AA61:AB61"/>
    <mergeCell ref="AA66:AB66"/>
    <mergeCell ref="C67:D67"/>
    <mergeCell ref="AA67:AB67"/>
    <mergeCell ref="A56:A60"/>
    <mergeCell ref="C56:D56"/>
    <mergeCell ref="R56:R60"/>
    <mergeCell ref="AA56:AB56"/>
    <mergeCell ref="C68:D68"/>
    <mergeCell ref="AA68:AB68"/>
    <mergeCell ref="AG56:AG60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43:AG47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A43:A47"/>
    <mergeCell ref="C43:D43"/>
    <mergeCell ref="R43:R47"/>
    <mergeCell ref="AA43:AB43"/>
    <mergeCell ref="C38:D38"/>
    <mergeCell ref="AA38:AB38"/>
    <mergeCell ref="C39:D39"/>
    <mergeCell ref="AA39:AB39"/>
    <mergeCell ref="C40:D40"/>
    <mergeCell ref="AA40:AB40"/>
    <mergeCell ref="A35:A42"/>
    <mergeCell ref="C35:D35"/>
    <mergeCell ref="R35:R42"/>
    <mergeCell ref="AA35:AB35"/>
    <mergeCell ref="AG27:AG34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G35:AG42"/>
    <mergeCell ref="C36:D36"/>
    <mergeCell ref="AA36:AB36"/>
    <mergeCell ref="C37:D37"/>
    <mergeCell ref="AA37:AB37"/>
    <mergeCell ref="C41:D41"/>
    <mergeCell ref="AA41:AB41"/>
    <mergeCell ref="C42:D42"/>
    <mergeCell ref="AA42:AB42"/>
    <mergeCell ref="A27:A34"/>
    <mergeCell ref="C27:D27"/>
    <mergeCell ref="R27:R34"/>
    <mergeCell ref="AA27:AB27"/>
    <mergeCell ref="AA32:AB32"/>
    <mergeCell ref="C33:D33"/>
    <mergeCell ref="AA33:AB33"/>
    <mergeCell ref="C34:D34"/>
    <mergeCell ref="AA34:AB34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0:A26"/>
    <mergeCell ref="C20:D20"/>
    <mergeCell ref="R20:R26"/>
    <mergeCell ref="AA20:AB20"/>
    <mergeCell ref="AA25:AB25"/>
    <mergeCell ref="A12:A19"/>
    <mergeCell ref="C12:D12"/>
    <mergeCell ref="R12:R19"/>
    <mergeCell ref="AA12:AB12"/>
    <mergeCell ref="AG12:AG19"/>
    <mergeCell ref="C13:D13"/>
    <mergeCell ref="AA13:AB13"/>
    <mergeCell ref="C14:D14"/>
    <mergeCell ref="AA14:AB14"/>
    <mergeCell ref="C15:D15"/>
    <mergeCell ref="AG8:AG11"/>
    <mergeCell ref="C9:D9"/>
    <mergeCell ref="AA9:AB9"/>
    <mergeCell ref="C10:D10"/>
    <mergeCell ref="AA10:AB10"/>
    <mergeCell ref="C11:D11"/>
    <mergeCell ref="AA11:AB11"/>
    <mergeCell ref="AA15:AB15"/>
    <mergeCell ref="C16:D16"/>
    <mergeCell ref="AA16:AB16"/>
    <mergeCell ref="C19:D19"/>
    <mergeCell ref="AA19:AB19"/>
    <mergeCell ref="C7:D7"/>
    <mergeCell ref="AA7:AB7"/>
    <mergeCell ref="A8:A11"/>
    <mergeCell ref="C8:D8"/>
    <mergeCell ref="R8:R11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6 O55:O56 O68 O5:O8 O11:O13 O19:O53">
    <cfRule type="cellIs" dxfId="598" priority="51" operator="greaterThan">
      <formula>0</formula>
    </cfRule>
  </conditionalFormatting>
  <conditionalFormatting sqref="P5:P6 P59 AE59 P61:P66 P27:P33 P56 P8 P11:P13 P20:P25 P48:P53 P35:P46 AE5:AE56 AE61:AE68">
    <cfRule type="cellIs" dxfId="597" priority="55" operator="lessThan">
      <formula>0</formula>
    </cfRule>
  </conditionalFormatting>
  <conditionalFormatting sqref="AF59 Q59:Q66 Q55:Q56 Q68 Q5:Q8 Q11:Q13 Q19:Q53 AF5:AF56 AF61:AF68">
    <cfRule type="cellIs" dxfId="596" priority="52" operator="greaterThan">
      <formula>1</formula>
    </cfRule>
    <cfRule type="cellIs" dxfId="595" priority="53" operator="lessThan">
      <formula>0.8</formula>
    </cfRule>
  </conditionalFormatting>
  <conditionalFormatting sqref="AG12:AG13 R12:R13 AG59 R59:R66 AG55:AG56 R55:R56 R68 AG5:AG8 R5:R8 AG19:AG53 R19:R53">
    <cfRule type="cellIs" dxfId="594" priority="57" operator="lessThan">
      <formula>0.8</formula>
    </cfRule>
  </conditionalFormatting>
  <conditionalFormatting sqref="AG43">
    <cfRule type="cellIs" dxfId="593" priority="59" operator="lessThan">
      <formula>0.8</formula>
    </cfRule>
  </conditionalFormatting>
  <conditionalFormatting sqref="AG20:AG25">
    <cfRule type="cellIs" dxfId="592" priority="56" operator="lessThan">
      <formula>0.8</formula>
    </cfRule>
  </conditionalFormatting>
  <conditionalFormatting sqref="AG27">
    <cfRule type="cellIs" dxfId="591" priority="58" operator="lessThan">
      <formula>0.8</formula>
    </cfRule>
  </conditionalFormatting>
  <conditionalFormatting sqref="AG35:AG41">
    <cfRule type="cellIs" dxfId="590" priority="54" operator="lessThan">
      <formula>0.8</formula>
    </cfRule>
  </conditionalFormatting>
  <conditionalFormatting sqref="AE60">
    <cfRule type="cellIs" dxfId="589" priority="50" operator="lessThan">
      <formula>0</formula>
    </cfRule>
  </conditionalFormatting>
  <conditionalFormatting sqref="AF60">
    <cfRule type="cellIs" dxfId="588" priority="48" operator="greaterThan">
      <formula>1</formula>
    </cfRule>
    <cfRule type="cellIs" dxfId="587" priority="49" operator="lessThan">
      <formula>0.8</formula>
    </cfRule>
  </conditionalFormatting>
  <conditionalFormatting sqref="O14:O15">
    <cfRule type="cellIs" dxfId="586" priority="43" operator="greaterThan">
      <formula>0</formula>
    </cfRule>
  </conditionalFormatting>
  <conditionalFormatting sqref="P14:P15">
    <cfRule type="cellIs" dxfId="585" priority="46" operator="lessThan">
      <formula>0</formula>
    </cfRule>
  </conditionalFormatting>
  <conditionalFormatting sqref="Q14:Q15">
    <cfRule type="cellIs" dxfId="584" priority="44" operator="greaterThan">
      <formula>1</formula>
    </cfRule>
    <cfRule type="cellIs" dxfId="583" priority="45" operator="lessThan">
      <formula>0.8</formula>
    </cfRule>
  </conditionalFormatting>
  <conditionalFormatting sqref="R14:R15 AG14:AG15">
    <cfRule type="cellIs" dxfId="582" priority="47" operator="lessThan">
      <formula>0.8</formula>
    </cfRule>
  </conditionalFormatting>
  <conditionalFormatting sqref="O9:O10">
    <cfRule type="cellIs" dxfId="581" priority="39" operator="greaterThan">
      <formula>0</formula>
    </cfRule>
  </conditionalFormatting>
  <conditionalFormatting sqref="P9:P10">
    <cfRule type="cellIs" dxfId="580" priority="42" operator="lessThan">
      <formula>0</formula>
    </cfRule>
  </conditionalFormatting>
  <conditionalFormatting sqref="Q9:Q10">
    <cfRule type="cellIs" dxfId="579" priority="40" operator="greaterThan">
      <formula>1</formula>
    </cfRule>
    <cfRule type="cellIs" dxfId="578" priority="41" operator="lessThan">
      <formula>0.8</formula>
    </cfRule>
  </conditionalFormatting>
  <conditionalFormatting sqref="O54">
    <cfRule type="cellIs" dxfId="577" priority="34" operator="greaterThan">
      <formula>0</formula>
    </cfRule>
  </conditionalFormatting>
  <conditionalFormatting sqref="P54">
    <cfRule type="cellIs" dxfId="576" priority="37" operator="lessThan">
      <formula>0</formula>
    </cfRule>
  </conditionalFormatting>
  <conditionalFormatting sqref="Q54">
    <cfRule type="cellIs" dxfId="575" priority="35" operator="greaterThan">
      <formula>1</formula>
    </cfRule>
    <cfRule type="cellIs" dxfId="574" priority="36" operator="lessThan">
      <formula>0.8</formula>
    </cfRule>
  </conditionalFormatting>
  <conditionalFormatting sqref="R54 AG54">
    <cfRule type="cellIs" dxfId="573" priority="38" operator="lessThan">
      <formula>0.8</formula>
    </cfRule>
  </conditionalFormatting>
  <conditionalFormatting sqref="O58">
    <cfRule type="cellIs" dxfId="572" priority="29" operator="greaterThan">
      <formula>0</formula>
    </cfRule>
  </conditionalFormatting>
  <conditionalFormatting sqref="P58 AE58">
    <cfRule type="cellIs" dxfId="571" priority="32" operator="lessThan">
      <formula>0</formula>
    </cfRule>
  </conditionalFormatting>
  <conditionalFormatting sqref="Q58 AF58">
    <cfRule type="cellIs" dxfId="570" priority="30" operator="greaterThan">
      <formula>1</formula>
    </cfRule>
    <cfRule type="cellIs" dxfId="569" priority="31" operator="lessThan">
      <formula>0.8</formula>
    </cfRule>
  </conditionalFormatting>
  <conditionalFormatting sqref="R58 AG58">
    <cfRule type="cellIs" dxfId="568" priority="33" operator="lessThan">
      <formula>0.8</formula>
    </cfRule>
  </conditionalFormatting>
  <conditionalFormatting sqref="O67">
    <cfRule type="cellIs" dxfId="567" priority="24" operator="greaterThan">
      <formula>0</formula>
    </cfRule>
  </conditionalFormatting>
  <conditionalFormatting sqref="P67">
    <cfRule type="cellIs" dxfId="566" priority="27" operator="lessThan">
      <formula>0</formula>
    </cfRule>
  </conditionalFormatting>
  <conditionalFormatting sqref="Q67">
    <cfRule type="cellIs" dxfId="565" priority="25" operator="greaterThan">
      <formula>1</formula>
    </cfRule>
    <cfRule type="cellIs" dxfId="564" priority="26" operator="lessThan">
      <formula>0.8</formula>
    </cfRule>
  </conditionalFormatting>
  <conditionalFormatting sqref="R67">
    <cfRule type="cellIs" dxfId="563" priority="28" operator="lessThan">
      <formula>0.8</formula>
    </cfRule>
  </conditionalFormatting>
  <conditionalFormatting sqref="O16:O17">
    <cfRule type="cellIs" dxfId="562" priority="19" operator="greaterThan">
      <formula>0</formula>
    </cfRule>
  </conditionalFormatting>
  <conditionalFormatting sqref="P16:P17">
    <cfRule type="cellIs" dxfId="561" priority="22" operator="lessThan">
      <formula>0</formula>
    </cfRule>
  </conditionalFormatting>
  <conditionalFormatting sqref="Q16:Q17">
    <cfRule type="cellIs" dxfId="560" priority="20" operator="greaterThan">
      <formula>1</formula>
    </cfRule>
    <cfRule type="cellIs" dxfId="559" priority="21" operator="lessThan">
      <formula>0.8</formula>
    </cfRule>
  </conditionalFormatting>
  <conditionalFormatting sqref="R16:R17 AG16:AG17">
    <cfRule type="cellIs" dxfId="558" priority="23" operator="lessThan">
      <formula>0.8</formula>
    </cfRule>
  </conditionalFormatting>
  <conditionalFormatting sqref="O57">
    <cfRule type="cellIs" dxfId="557" priority="14" operator="greaterThan">
      <formula>0</formula>
    </cfRule>
  </conditionalFormatting>
  <conditionalFormatting sqref="P57 AE57">
    <cfRule type="cellIs" dxfId="556" priority="17" operator="lessThan">
      <formula>0</formula>
    </cfRule>
  </conditionalFormatting>
  <conditionalFormatting sqref="Q57 AF57">
    <cfRule type="cellIs" dxfId="555" priority="15" operator="greaterThan">
      <formula>1</formula>
    </cfRule>
    <cfRule type="cellIs" dxfId="554" priority="16" operator="lessThan">
      <formula>0.8</formula>
    </cfRule>
  </conditionalFormatting>
  <conditionalFormatting sqref="R57 AG57">
    <cfRule type="cellIs" dxfId="553" priority="18" operator="lessThan">
      <formula>0.8</formula>
    </cfRule>
  </conditionalFormatting>
  <conditionalFormatting sqref="O18">
    <cfRule type="cellIs" dxfId="552" priority="9" operator="greaterThan">
      <formula>0</formula>
    </cfRule>
  </conditionalFormatting>
  <conditionalFormatting sqref="P18">
    <cfRule type="cellIs" dxfId="551" priority="12" operator="lessThan">
      <formula>0</formula>
    </cfRule>
  </conditionalFormatting>
  <conditionalFormatting sqref="Q18">
    <cfRule type="cellIs" dxfId="550" priority="10" operator="greaterThan">
      <formula>1</formula>
    </cfRule>
    <cfRule type="cellIs" dxfId="549" priority="11" operator="lessThan">
      <formula>0.8</formula>
    </cfRule>
  </conditionalFormatting>
  <conditionalFormatting sqref="AG18 R18">
    <cfRule type="cellIs" dxfId="548" priority="13" operator="lessThan">
      <formula>0.8</formula>
    </cfRule>
  </conditionalFormatting>
  <conditionalFormatting sqref="P7">
    <cfRule type="cellIs" dxfId="547" priority="8" operator="lessThan">
      <formula>0</formula>
    </cfRule>
  </conditionalFormatting>
  <conditionalFormatting sqref="P19">
    <cfRule type="cellIs" dxfId="546" priority="7" operator="lessThan">
      <formula>0</formula>
    </cfRule>
  </conditionalFormatting>
  <conditionalFormatting sqref="P26">
    <cfRule type="cellIs" dxfId="545" priority="6" operator="lessThan">
      <formula>0</formula>
    </cfRule>
  </conditionalFormatting>
  <conditionalFormatting sqref="P34">
    <cfRule type="cellIs" dxfId="544" priority="5" operator="lessThan">
      <formula>0</formula>
    </cfRule>
  </conditionalFormatting>
  <conditionalFormatting sqref="P47">
    <cfRule type="cellIs" dxfId="543" priority="4" operator="lessThan">
      <formula>0</formula>
    </cfRule>
  </conditionalFormatting>
  <conditionalFormatting sqref="P55">
    <cfRule type="cellIs" dxfId="542" priority="3" operator="lessThan">
      <formula>0</formula>
    </cfRule>
  </conditionalFormatting>
  <conditionalFormatting sqref="P60">
    <cfRule type="cellIs" dxfId="541" priority="2" operator="lessThan">
      <formula>0</formula>
    </cfRule>
  </conditionalFormatting>
  <conditionalFormatting sqref="P68">
    <cfRule type="cellIs" dxfId="540" priority="1" operator="lessThan">
      <formula>0</formula>
    </cfRule>
  </conditionalFormatting>
  <dataValidations count="1">
    <dataValidation type="list" allowBlank="1" showInputMessage="1" showErrorMessage="1" sqref="AB7 AA5:AB6 AA7:AA59 AB9:AB56 AA60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740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741</v>
      </c>
      <c r="C3" s="594" t="str">
        <f>TEXT('0708 4度C'!A2,"yyyy.mm.ddaaaa")</f>
        <v>2026.07.08星期三</v>
      </c>
      <c r="D3" s="595"/>
      <c r="E3" s="36" t="s">
        <v>742</v>
      </c>
      <c r="F3" s="596">
        <f>'0708 4度C'!D1</f>
        <v>185048</v>
      </c>
      <c r="G3" s="597"/>
      <c r="H3" s="36" t="s">
        <v>743</v>
      </c>
      <c r="I3" s="598">
        <f>'0708 4度C'!F1</f>
        <v>6350848.8699999992</v>
      </c>
      <c r="J3" s="599"/>
      <c r="K3" s="37"/>
      <c r="L3" s="38"/>
      <c r="M3" s="39"/>
      <c r="N3" s="39"/>
    </row>
    <row r="4" spans="2:17" ht="28.5" customHeight="1">
      <c r="B4" s="600" t="s">
        <v>744</v>
      </c>
      <c r="C4" s="586" t="s">
        <v>745</v>
      </c>
      <c r="D4" s="587"/>
      <c r="E4" s="603" t="s">
        <v>746</v>
      </c>
      <c r="F4" s="604"/>
      <c r="G4" s="603" t="s">
        <v>747</v>
      </c>
      <c r="H4" s="604"/>
      <c r="I4" s="603" t="s">
        <v>748</v>
      </c>
      <c r="J4" s="604"/>
      <c r="K4" s="584" t="s">
        <v>749</v>
      </c>
      <c r="L4" s="585"/>
      <c r="M4" s="585" t="s">
        <v>750</v>
      </c>
      <c r="N4" s="585"/>
    </row>
    <row r="5" spans="2:17" ht="28.5" customHeight="1">
      <c r="B5" s="601"/>
      <c r="C5" s="586" t="s">
        <v>751</v>
      </c>
      <c r="D5" s="587"/>
      <c r="E5" s="586" t="s">
        <v>299</v>
      </c>
      <c r="F5" s="587"/>
      <c r="G5" s="588" t="s">
        <v>752</v>
      </c>
      <c r="H5" s="589"/>
      <c r="I5" s="590" t="s">
        <v>753</v>
      </c>
      <c r="J5" s="591"/>
      <c r="K5" s="40" t="s">
        <v>754</v>
      </c>
      <c r="L5" s="41" t="s">
        <v>755</v>
      </c>
      <c r="M5" s="40" t="s">
        <v>756</v>
      </c>
      <c r="N5" s="41" t="s">
        <v>757</v>
      </c>
    </row>
    <row r="6" spans="2:17" ht="28.5" customHeight="1">
      <c r="B6" s="601"/>
      <c r="C6" s="586" t="s">
        <v>41</v>
      </c>
      <c r="D6" s="587"/>
      <c r="E6" s="578">
        <f>AVERAGE(D13:M13)</f>
        <v>156.1711866038242</v>
      </c>
      <c r="F6" s="579">
        <f>AVERAGE(D31:O31,D13:J13)</f>
        <v>165.24655309149753</v>
      </c>
      <c r="G6" s="580">
        <f>AVERAGE(D13:J13)</f>
        <v>165.24655309149753</v>
      </c>
      <c r="H6" s="581"/>
      <c r="I6" s="580">
        <f>AVERAGE(K13:M13)</f>
        <v>134.99533146591969</v>
      </c>
      <c r="J6" s="581"/>
      <c r="K6" s="582">
        <f>'0708 4度C'!Y2</f>
        <v>0</v>
      </c>
      <c r="L6" s="567">
        <f>'0708 4度C'!Z2</f>
        <v>0</v>
      </c>
      <c r="M6" s="583">
        <f>'0708 4度C'!AC2</f>
        <v>57</v>
      </c>
      <c r="N6" s="567">
        <f>'0708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149.58079014206888</v>
      </c>
      <c r="F7" s="571">
        <f>AVERAGE(D32:O32,D14:J14)</f>
        <v>158.34637163879083</v>
      </c>
      <c r="G7" s="572">
        <f>AVERAGE(D14:J14)</f>
        <v>158.34637163879083</v>
      </c>
      <c r="H7" s="573"/>
      <c r="I7" s="572">
        <f>AVERAGE(K14:M14)</f>
        <v>129.12776664971761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0.95759929095944296</v>
      </c>
      <c r="F8" s="575">
        <f>AVERAGE(D15:J15,D33:O33)</f>
        <v>0.95804233330509558</v>
      </c>
      <c r="G8" s="576">
        <f>AVERAGE(D15:J15)</f>
        <v>0.95804233330509558</v>
      </c>
      <c r="H8" s="577"/>
      <c r="I8" s="576">
        <f>AVERAGE(K15:M15)</f>
        <v>0.95656552548625307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580</v>
      </c>
      <c r="N9" s="39"/>
      <c r="O9" s="39"/>
      <c r="P9" s="39"/>
      <c r="Q9" s="39"/>
    </row>
    <row r="10" spans="2:17" ht="30" customHeight="1">
      <c r="B10" s="550" t="s">
        <v>758</v>
      </c>
      <c r="C10" s="551"/>
      <c r="D10" s="552" t="s">
        <v>759</v>
      </c>
      <c r="E10" s="553"/>
      <c r="F10" s="553"/>
      <c r="G10" s="553"/>
      <c r="H10" s="553"/>
      <c r="I10" s="553"/>
      <c r="J10" s="554"/>
      <c r="K10" s="555" t="s">
        <v>760</v>
      </c>
      <c r="L10" s="556"/>
      <c r="M10" s="557"/>
      <c r="P10" s="45"/>
      <c r="Q10" s="45"/>
    </row>
    <row r="11" spans="2:17" ht="17.25" customHeight="1">
      <c r="B11" s="558" t="s">
        <v>761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762</v>
      </c>
      <c r="C13" s="52" t="s">
        <v>763</v>
      </c>
      <c r="D13" s="53">
        <f>SUMIFS('0708 4度C'!$K:$K,'0708 4度C'!$A:$A,"新豐6線",'0708 4度C'!$B:$B,"平均")</f>
        <v>129.03225806451613</v>
      </c>
      <c r="E13" s="54">
        <f>SUMIFS('0708 4度C'!$K:$K,'0708 4度C'!$A:$A,"新豐2線",'0708 4度C'!$B:$B,"平均")</f>
        <v>88.235294117647058</v>
      </c>
      <c r="F13" s="55">
        <f>SUMIFS('0708 4度C'!$K:$K,'0708 4度C'!$A:$A,"新豐5線",'0708 4度C'!$B:$B,"平均")</f>
        <v>84.415584415584419</v>
      </c>
      <c r="G13" s="55">
        <f>SUMIFS('0708 4度C'!$K:$K,'0708 4度C'!$A:$A,"新豐7線",'0708 4度C'!$B:$B,"平均")</f>
        <v>119.99999999999999</v>
      </c>
      <c r="H13" s="55">
        <f>SUMIFS('0708 4度C'!$K:$K,'0708 4度C'!$A:$A,"新豐3線",'0708 4度C'!$B:$B,"平均")</f>
        <v>307.69230769230768</v>
      </c>
      <c r="I13" s="55">
        <f>SUMIFS('0708 4度C'!$K:$K,'0708 4度C'!$A:$A,"新豐1線",'0708 4度C'!$B:$B,"平均")</f>
        <v>119.65811965811965</v>
      </c>
      <c r="J13" s="56">
        <f>SUMIFS('0708 4度C'!$K:$K,'0708 4度C'!$A:$A,"新豐10線",'0708 4度C'!$B:$B,"平均")</f>
        <v>307.69230769230768</v>
      </c>
      <c r="K13" s="57">
        <f>SUMIFS('0708 4度C'!$K:$K,'0708 4度C'!$A:$A,"新豐8線",'0708 4度C'!$B:$B,"平均")</f>
        <v>137.14285714285714</v>
      </c>
      <c r="L13" s="58">
        <f>SUMIFS('0708 4度C'!$K:$K,'0708 4度C'!$A:$A,"新豐9線",'0708 4度C'!$B:$B,"平均")</f>
        <v>126.66666666666667</v>
      </c>
      <c r="M13" s="56">
        <f>SUMIFS('0708 4度C'!$K:$K,'0708 4度C'!$A:$A,"新豐4線",'0708 4度C'!$B:$B,"平均")</f>
        <v>141.1764705882353</v>
      </c>
    </row>
    <row r="14" spans="2:17" ht="39.6" customHeight="1">
      <c r="B14" s="563"/>
      <c r="C14" s="59" t="s">
        <v>764</v>
      </c>
      <c r="D14" s="60">
        <f>SUMIFS('0708 4度C'!$N:$N,'0708 4度C'!$A:$A,"新豐6線",'0708 4度C'!$B:$B,"平均")</f>
        <v>123.89516129032252</v>
      </c>
      <c r="E14" s="61">
        <f>SUMIFS('0708 4度C'!$N:$N,'0708 4度C'!$A:$A,"新豐2線",'0708 4度C'!$B:$B,"平均")</f>
        <v>84.230721700444875</v>
      </c>
      <c r="F14" s="61">
        <f>SUMIFS('0708 4度C'!$N:$N,'0708 4度C'!$A:$A,"新豐5線",'0708 4度C'!$B:$B,"平均")</f>
        <v>81.007970448651506</v>
      </c>
      <c r="G14" s="61">
        <f>SUMIFS('0708 4度C'!$N:$N,'0708 4度C'!$A:$A,"新豐7線",'0708 4度C'!$B:$B,"平均")</f>
        <v>114.68364441930622</v>
      </c>
      <c r="H14" s="61">
        <f>SUMIFS('0708 4度C'!$N:$N,'0708 4度C'!$A:$A,"新豐3線",'0708 4度C'!$B:$B,"平均")</f>
        <v>294.0679916876939</v>
      </c>
      <c r="I14" s="61">
        <f>SUMIFS('0708 4度C'!$N:$N,'0708 4度C'!$A:$A,"新豐1線",'0708 4度C'!$B:$B,"平均")</f>
        <v>114.77865400002469</v>
      </c>
      <c r="J14" s="62">
        <f>SUMIFS('0708 4度C'!$N:$N,'0708 4度C'!$A:$A,"新豐10線",'0708 4度C'!$B:$B,"平均")</f>
        <v>295.76045792509206</v>
      </c>
      <c r="K14" s="63">
        <f>SUMIFS('0708 4度C'!$N:$N,'0708 4度C'!$A:$A,"新豐8線",'0708 4度C'!$B:$B,"平均")</f>
        <v>131.12475650668952</v>
      </c>
      <c r="L14" s="64">
        <f>SUMIFS('0708 4度C'!$N:$N,'0708 4度C'!$A:$A,"新豐9線",'0708 4度C'!$B:$B,"平均")</f>
        <v>121.28845448998656</v>
      </c>
      <c r="M14" s="62">
        <f>SUMIFS('0708 4度C'!$N:$N,'0708 4度C'!$A:$A,"新豐4線",'0708 4度C'!$B:$B,"平均")</f>
        <v>134.97008895247674</v>
      </c>
    </row>
    <row r="15" spans="2:17" ht="40.15" customHeight="1">
      <c r="B15" s="564"/>
      <c r="C15" s="65" t="s">
        <v>765</v>
      </c>
      <c r="D15" s="66">
        <f t="shared" ref="D15:M15" si="0">D14/D13</f>
        <v>0.96018749999999953</v>
      </c>
      <c r="E15" s="67">
        <f t="shared" si="0"/>
        <v>0.9546148459383752</v>
      </c>
      <c r="F15" s="67">
        <f t="shared" si="0"/>
        <v>0.95963288069941011</v>
      </c>
      <c r="G15" s="67">
        <f t="shared" si="0"/>
        <v>0.95569703682755192</v>
      </c>
      <c r="H15" s="67">
        <f t="shared" si="0"/>
        <v>0.95572097298500525</v>
      </c>
      <c r="I15" s="67">
        <f t="shared" si="0"/>
        <v>0.95922160842877779</v>
      </c>
      <c r="J15" s="68">
        <f t="shared" si="0"/>
        <v>0.96122148825654918</v>
      </c>
      <c r="K15" s="66">
        <f t="shared" si="0"/>
        <v>0.95611801619461112</v>
      </c>
      <c r="L15" s="67">
        <f t="shared" si="0"/>
        <v>0.9575404301841044</v>
      </c>
      <c r="M15" s="68">
        <f t="shared" si="0"/>
        <v>0.95603813008004357</v>
      </c>
    </row>
    <row r="16" spans="2:17" ht="17.25" customHeight="1">
      <c r="B16" s="565" t="s">
        <v>766</v>
      </c>
      <c r="C16" s="69" t="s">
        <v>767</v>
      </c>
      <c r="D16" s="70">
        <f>VLOOKUP("新豐6線",'0708 4度C'!$A:$T,19,0)</f>
        <v>0.70833333333333337</v>
      </c>
      <c r="E16" s="71">
        <f>VLOOKUP("新豐2線",'0708 4度C'!$A:$T,19,0)</f>
        <v>8.3333333333333329E-2</v>
      </c>
      <c r="F16" s="71">
        <f>VLOOKUP("新豐5線",'0708 4度C'!$A:$T,19,0)</f>
        <v>8.3333333333333329E-2</v>
      </c>
      <c r="G16" s="71">
        <f>VLOOKUP("新豐7線",'0708 4度C'!$A:$T,19,0)</f>
        <v>0.20833333333333334</v>
      </c>
      <c r="H16" s="71">
        <f>VLOOKUP("新豐3線",'0708 4度C'!$A:$T,19,0)</f>
        <v>0.20833333333333334</v>
      </c>
      <c r="I16" s="71">
        <f>VLOOKUP("新豐1線",'0708 4度C'!$A:$T,19,0)</f>
        <v>0.20833333333333334</v>
      </c>
      <c r="J16" s="72">
        <f>VLOOKUP("新豐10線",'0708 4度C'!$A:$T,19,0)</f>
        <v>0.20833333333333334</v>
      </c>
      <c r="K16" s="73">
        <f>VLOOKUP("新豐8線",'0708 4度C'!$A:$T,19,0)</f>
        <v>8.3333333333333329E-2</v>
      </c>
      <c r="L16" s="74">
        <f>VLOOKUP("新豐9線",'0708 4度C'!$A:$T,19,0)</f>
        <v>8.3333333333333329E-2</v>
      </c>
      <c r="M16" s="75">
        <f>VLOOKUP("新豐4線",'0708 4度C'!$A:$T,19,0)</f>
        <v>8.3333333333333329E-2</v>
      </c>
    </row>
    <row r="17" spans="2:13" ht="17.25" customHeight="1">
      <c r="B17" s="566"/>
      <c r="C17" s="69" t="s">
        <v>220</v>
      </c>
      <c r="D17" s="73">
        <f>LOOKUP(2,1/(('0708 4度C'!$A:$A="新豐6線")*('0708 4度C'!$T:$T&lt;&gt;"")),'0708 4度C'!$T:$T)</f>
        <v>0.8222222222222223</v>
      </c>
      <c r="E17" s="71">
        <f>LOOKUP(2,1/(('0708 4度C'!$A:$A="新豐2線")*('0708 4度C'!$T:$T&lt;&gt;"")),'0708 4度C'!$T:$T)</f>
        <v>0.58750000000000002</v>
      </c>
      <c r="F17" s="71">
        <f>LOOKUP(2,1/(('0708 4度C'!$A:$A="新豐5線")*('0708 4度C'!$T:$T&lt;&gt;"")),'0708 4度C'!$T:$T)</f>
        <v>0.93680555555555545</v>
      </c>
      <c r="G17" s="71">
        <f>LOOKUP(2,1/(('0708 4度C'!$A:$A="新豐7線")*('0708 4度C'!$T:$T&lt;&gt;"")),'0708 4度C'!$T:$T)</f>
        <v>0.83333333333333326</v>
      </c>
      <c r="H17" s="71">
        <f>LOOKUP(2,1/(('0708 4度C'!$A:$A="新豐3線")*('0708 4度C'!$T:$T&lt;&gt;"")),'0708 4度C'!$T:$T)</f>
        <v>0.47222222222222221</v>
      </c>
      <c r="I17" s="71">
        <f>LOOKUP(2,1/(('0708 4度C'!$A:$A="新豐1線")*('0708 4度C'!$T:$T&lt;&gt;"")),'0708 4度C'!$T:$T)</f>
        <v>0.84027777777777779</v>
      </c>
      <c r="J17" s="72">
        <f>LOOKUP(2,1/(('0708 4度C'!$A:$A="新豐10線")*('0708 4度C'!$T:$T&lt;&gt;"")),'0708 4度C'!$T:$T)</f>
        <v>0.43749999999999994</v>
      </c>
      <c r="K17" s="70">
        <f>LOOKUP(2,1/(('0708 4度C'!$A:$A="新豐8線")*('0708 4度C'!$T:$T&lt;&gt;"")),'0708 4度C'!$T:$T)</f>
        <v>0.72361111111111109</v>
      </c>
      <c r="L17" s="71">
        <f>LOOKUP(2,1/(('0708 4度C'!$A:$A="新豐9線")*('0708 4度C'!$T:$T&lt;&gt;"")),'0708 4度C'!$T:$T)</f>
        <v>0.6909722222222221</v>
      </c>
      <c r="M17" s="72">
        <f>LOOKUP(2,1/(('0708 4度C'!$A:$A="新豐4線")*('0708 4度C'!$T:$T&lt;&gt;"")),'0708 4度C'!$T:$T)</f>
        <v>0.6958333333333333</v>
      </c>
    </row>
    <row r="18" spans="2:13" ht="17.25" customHeight="1">
      <c r="B18" s="544" t="s">
        <v>768</v>
      </c>
      <c r="C18" s="76" t="s">
        <v>769</v>
      </c>
      <c r="D18" s="77">
        <f>SUMIFS('0708 4度C'!$Y:$Y,'0708 4度C'!$A:$A,"新豐6線",'0708 4度C'!$B:$B,"平均")</f>
        <v>0</v>
      </c>
      <c r="E18" s="78">
        <f>SUMIFS('0708 4度C'!$Y:$Y,'0708 4度C'!$A:$A,"新豐2線",'0708 4度C'!$B:$B,"平均")</f>
        <v>0</v>
      </c>
      <c r="F18" s="78">
        <f>SUMIFS('0708 4度C'!$Y:$Y,'0708 4度C'!$A:$A,"新豐5線",'0708 4度C'!$B:$B,"平均")</f>
        <v>0</v>
      </c>
      <c r="G18" s="78">
        <f>SUMIFS('0708 4度C'!$Y:$Y,'0708 4度C'!$A:$A,"新豐7線",'0708 4度C'!$B:$B,"平均")</f>
        <v>0</v>
      </c>
      <c r="H18" s="78">
        <f>SUMIFS('0708 4度C'!$Y:$Y,'0708 4度C'!$A:$A,"新豐3線",'0708 4度C'!$B:$B,"平均")</f>
        <v>0</v>
      </c>
      <c r="I18" s="78">
        <f>SUMIFS('0708 4度C'!$Y:$Y,'0708 4度C'!$A:$A,"新豐1線",'0708 4度C'!$B:$B,"平均")</f>
        <v>0</v>
      </c>
      <c r="J18" s="79">
        <f>SUMIFS('0708 4度C'!$Y:$Y,'0708 4度C'!$A:$A,"新豐10線",'0708 4度C'!$B:$B,"平均")</f>
        <v>0</v>
      </c>
      <c r="K18" s="80">
        <f>SUMIFS('0708 4度C'!$Y:$Y,'0708 4度C'!$A:$A,"新豐8線",'0708 4度C'!$B:$B,"平均")</f>
        <v>0</v>
      </c>
      <c r="L18" s="78">
        <f>SUMIFS('0708 4度C'!$Y:$Y,'0708 4度C'!$A:$A,"新豐9線",'0708 4度C'!$B:$B,"平均")</f>
        <v>0</v>
      </c>
      <c r="M18" s="79">
        <f>SUMIFS('0708 4度C'!$Y:$Y,'0708 4度C'!$A:$A,"新豐4線",'0708 4度C'!$B:$B,"平均")</f>
        <v>0</v>
      </c>
    </row>
    <row r="19" spans="2:13" ht="17.25" customHeight="1">
      <c r="B19" s="545"/>
      <c r="C19" s="76" t="s">
        <v>770</v>
      </c>
      <c r="D19" s="77">
        <f>SUMIFS('0708 4度C'!$Z:$Z,'0708 4度C'!$A:$A,"新豐6線",'0708 4度C'!$B:$B,"平均")</f>
        <v>0</v>
      </c>
      <c r="E19" s="78">
        <f>SUMIFS('0708 4度C'!$Z:$Z,'0708 4度C'!$A:$A,"新豐2線",'0708 4度C'!$B:$B,"平均")</f>
        <v>0</v>
      </c>
      <c r="F19" s="78">
        <f>SUMIFS('0708 4度C'!$Z:$Z,'0708 4度C'!$A:$A,"新豐5線",'0708 4度C'!$B:$B,"平均")</f>
        <v>0</v>
      </c>
      <c r="G19" s="78">
        <f>SUMIFS('0708 4度C'!$Z:$Z,'0708 4度C'!$A:$A,"新豐7線",'0708 4度C'!$B:$B,"平均")</f>
        <v>0</v>
      </c>
      <c r="H19" s="78">
        <f>SUMIFS('0708 4度C'!$Z:$Z,'0708 4度C'!$A:$A,"新豐3線",'0708 4度C'!$B:$B,"平均")</f>
        <v>0</v>
      </c>
      <c r="I19" s="78">
        <f>SUMIFS('0708 4度C'!$Z:$Z,'0708 4度C'!$A:$A,"新豐1線",'0708 4度C'!$B:$B,"平均")</f>
        <v>0</v>
      </c>
      <c r="J19" s="79">
        <f>SUMIFS('0708 4度C'!$Z:$Z,'0708 4度C'!$A:$A,"新豐10線",'0708 4度C'!$B:$B,"平均")</f>
        <v>0</v>
      </c>
      <c r="K19" s="80">
        <f>SUMIFS('0708 4度C'!$Z:$Z,'0708 4度C'!$A:$A,"新豐8線",'0708 4度C'!$B:$B,"平均")</f>
        <v>0</v>
      </c>
      <c r="L19" s="78">
        <f>SUMIFS('0708 4度C'!$Z:$Z,'0708 4度C'!$A:$A,"新豐9線",'0708 4度C'!$B:$B,"平均")</f>
        <v>0</v>
      </c>
      <c r="M19" s="79">
        <f>SUMIFS('0708 4度C'!$Z:$Z,'0708 4度C'!$A:$A,"新豐4線",'0708 4度C'!$B:$B,"平均")</f>
        <v>0</v>
      </c>
    </row>
    <row r="20" spans="2:13" ht="17.25" customHeight="1">
      <c r="B20" s="544" t="s">
        <v>771</v>
      </c>
      <c r="C20" s="76" t="s">
        <v>769</v>
      </c>
      <c r="D20" s="77">
        <f>SUMIFS('0708 4度C'!$AC:$AC,'0708 4度C'!$A:$A,"新豐6線",'0708 4度C'!$B:$B,"平均")</f>
        <v>2</v>
      </c>
      <c r="E20" s="78">
        <f>SUMIFS('0708 4度C'!$AC:$AC,'0708 4度C'!$A:$A,"新豐2線",'0708 4度C'!$B:$B,"平均")</f>
        <v>4</v>
      </c>
      <c r="F20" s="78">
        <f>SUMIFS('0708 4度C'!$AC:$AC,'0708 4度C'!$A:$A,"新豐5線",'0708 4度C'!$B:$B,"平均")</f>
        <v>8</v>
      </c>
      <c r="G20" s="78">
        <f>SUMIFS('0708 4度C'!$AC:$AC,'0708 4度C'!$A:$A,"新豐7線",'0708 4度C'!$B:$B,"平均")</f>
        <v>6</v>
      </c>
      <c r="H20" s="78">
        <f>SUMIFS('0708 4度C'!$AC:$AC,'0708 4度C'!$A:$A,"新豐3線",'0708 4度C'!$B:$B,"平均")</f>
        <v>4</v>
      </c>
      <c r="I20" s="78">
        <f>SUMIFS('0708 4度C'!$AC:$AC,'0708 4度C'!$A:$A,"新豐1線",'0708 4度C'!$B:$B,"平均")</f>
        <v>7</v>
      </c>
      <c r="J20" s="79">
        <f>SUMIFS('0708 4度C'!$AC:$AC,'0708 4度C'!$A:$A,"新豐10線",'0708 4度C'!$B:$B,"平均")</f>
        <v>4</v>
      </c>
      <c r="K20" s="80">
        <f>SUMIFS('0708 4度C'!$AC:$AC,'0708 4度C'!$A:$A,"新豐8線",'0708 4度C'!$B:$B,"平均")</f>
        <v>8</v>
      </c>
      <c r="L20" s="78">
        <f>SUMIFS('0708 4度C'!$AC:$AC,'0708 4度C'!$A:$A,"新豐9線",'0708 4度C'!$B:$B,"平均")</f>
        <v>7</v>
      </c>
      <c r="M20" s="79">
        <f>SUMIFS('0708 4度C'!$AC:$AC,'0708 4度C'!$A:$A,"新豐4線",'0708 4度C'!$B:$B,"平均")</f>
        <v>7</v>
      </c>
    </row>
    <row r="21" spans="2:13" ht="17.25" customHeight="1">
      <c r="B21" s="545"/>
      <c r="C21" s="76" t="s">
        <v>772</v>
      </c>
      <c r="D21" s="77">
        <f>SUMIFS('0708 4度C'!$AD:$AD,'0708 4度C'!$A:$A,"新豐6線",'0708 4度C'!$B:$B,"平均")</f>
        <v>0</v>
      </c>
      <c r="E21" s="78">
        <f>SUMIFS('0708 4度C'!$AD:$AD,'0708 4度C'!$A:$A,"新豐2線",'0708 4度C'!$B:$B,"平均")</f>
        <v>0</v>
      </c>
      <c r="F21" s="78">
        <f>SUMIFS('0708 4度C'!$AD:$AD,'0708 4度C'!$A:$A,"新豐5線",'0708 4度C'!$B:$B,"平均")</f>
        <v>0</v>
      </c>
      <c r="G21" s="78">
        <f>SUMIFS('0708 4度C'!$AD:$AD,'0708 4度C'!$A:$A,"新豐7線",'0708 4度C'!$B:$B,"平均")</f>
        <v>0</v>
      </c>
      <c r="H21" s="78">
        <f>SUMIFS('0708 4度C'!$AD:$AD,'0708 4度C'!$A:$A,"新豐3線",'0708 4度C'!$B:$B,"平均")</f>
        <v>0</v>
      </c>
      <c r="I21" s="78">
        <f>SUMIFS('0708 4度C'!$AD:$AD,'0708 4度C'!$A:$A,"新豐1線",'0708 4度C'!$B:$B,"平均")</f>
        <v>0</v>
      </c>
      <c r="J21" s="79">
        <f>SUMIFS('0708 4度C'!$AD:$AD,'0708 4度C'!$A:$A,"新豐10線",'0708 4度C'!$B:$B,"平均")</f>
        <v>0</v>
      </c>
      <c r="K21" s="80">
        <f>SUMIFS('0708 4度C'!$AD:$AD,'0708 4度C'!$A:$A,"新豐8線",'0708 4度C'!$B:$B,"平均")</f>
        <v>0</v>
      </c>
      <c r="L21" s="78">
        <f>SUMIFS('0708 4度C'!$AD:$AD,'0708 4度C'!$A:$A,"新豐9線",'0708 4度C'!$B:$B,"平均")</f>
        <v>0</v>
      </c>
      <c r="M21" s="79">
        <f>SUMIFS('0708 4度C'!$AD:$AD,'0708 4度C'!$A:$A,"新豐4線",'0708 4度C'!$B:$B,"平均")</f>
        <v>0</v>
      </c>
    </row>
    <row r="22" spans="2:13" ht="17.25" customHeight="1">
      <c r="B22" s="546" t="s">
        <v>773</v>
      </c>
      <c r="C22" s="547"/>
      <c r="D22" s="81">
        <f>SUMIFS('0708 4度C'!$I:$I,'0708 4度C'!$A:$A,"新豐6線",'0708 4度C'!$B:$B,"平均")</f>
        <v>15.5</v>
      </c>
      <c r="E22" s="82">
        <f>SUMIFS('0708 4度C'!$I:$I,'0708 4度C'!$A:$A,"新豐2線",'0708 4度C'!$B:$B,"平均")</f>
        <v>17</v>
      </c>
      <c r="F22" s="82">
        <f>SUMIFS('0708 4度C'!$I:$I,'0708 4度C'!$A:$A,"新豐5線",'0708 4度C'!$B:$B,"平均")</f>
        <v>19.25</v>
      </c>
      <c r="G22" s="82">
        <f>SUMIFS('0708 4度C'!$I:$I,'0708 4度C'!$A:$A,"新豐7線",'0708 4度C'!$B:$B,"平均")</f>
        <v>16.666666666666668</v>
      </c>
      <c r="H22" s="82">
        <f>SUMIFS('0708 4度C'!$I:$I,'0708 4度C'!$A:$A,"新豐3線",'0708 4度C'!$B:$B,"平均")</f>
        <v>9.75</v>
      </c>
      <c r="I22" s="82">
        <f>SUMIFS('0708 4度C'!$I:$I,'0708 4度C'!$A:$A,"新豐1線",'0708 4度C'!$B:$B,"平均")</f>
        <v>16.714285714285715</v>
      </c>
      <c r="J22" s="83">
        <f>SUMIFS('0708 4度C'!$I:$I,'0708 4度C'!$A:$A,"新豐10線",'0708 4度C'!$B:$B,"平均")</f>
        <v>9.75</v>
      </c>
      <c r="K22" s="81">
        <f>SUMIFS('0708 4度C'!$I:$I,'0708 4度C'!$A:$A,"新豐8線",'0708 4度C'!$B:$B,"平均")</f>
        <v>17.5</v>
      </c>
      <c r="L22" s="82">
        <f>SUMIFS('0708 4度C'!$I:$I,'0708 4度C'!$A:$A,"新豐9線",'0708 4度C'!$B:$B,"平均")</f>
        <v>17.142857142857142</v>
      </c>
      <c r="M22" s="83">
        <f>SUMIFS('0708 4度C'!$I:$I,'0708 4度C'!$A:$A,"新豐4線",'0708 4度C'!$B:$B,"平均")</f>
        <v>17</v>
      </c>
    </row>
    <row r="23" spans="2:13" ht="17.25" customHeight="1">
      <c r="B23" s="546" t="s">
        <v>774</v>
      </c>
      <c r="C23" s="547"/>
      <c r="D23" s="84" t="s">
        <v>54</v>
      </c>
      <c r="E23" s="85" t="s">
        <v>55</v>
      </c>
      <c r="F23" s="85" t="s">
        <v>775</v>
      </c>
      <c r="G23" s="85" t="s">
        <v>775</v>
      </c>
      <c r="H23" s="85" t="s">
        <v>56</v>
      </c>
      <c r="I23" s="85" t="s">
        <v>54</v>
      </c>
      <c r="J23" s="86" t="s">
        <v>56</v>
      </c>
      <c r="K23" s="84" t="s">
        <v>776</v>
      </c>
      <c r="L23" s="85" t="s">
        <v>777</v>
      </c>
      <c r="M23" s="86" t="s">
        <v>776</v>
      </c>
    </row>
    <row r="24" spans="2:13" ht="17.25" customHeight="1">
      <c r="B24" s="546" t="s">
        <v>671</v>
      </c>
      <c r="C24" s="547"/>
      <c r="D24" s="84"/>
      <c r="E24" s="85"/>
      <c r="F24" s="85" t="s">
        <v>778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779</v>
      </c>
      <c r="C25" s="549"/>
      <c r="D25" s="87"/>
      <c r="E25" s="88" t="s">
        <v>780</v>
      </c>
      <c r="F25" s="542" t="s">
        <v>781</v>
      </c>
      <c r="G25" s="543"/>
      <c r="H25" s="88" t="s">
        <v>127</v>
      </c>
      <c r="I25" s="88" t="s">
        <v>782</v>
      </c>
      <c r="J25" s="89" t="s">
        <v>783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41" activePane="bottomLeft" state="frozen"/>
      <selection activeCell="A9" sqref="A9"/>
      <selection pane="bottomLeft" activeCell="A8" sqref="A8:A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784</v>
      </c>
      <c r="B1" s="1"/>
      <c r="C1" s="2" t="s">
        <v>785</v>
      </c>
      <c r="D1" s="3">
        <f>SUM(F5:F71)</f>
        <v>185048</v>
      </c>
      <c r="E1" s="192" t="s">
        <v>786</v>
      </c>
      <c r="F1" s="1">
        <f>SUM(G5:G71)</f>
        <v>6350848.8699999992</v>
      </c>
      <c r="G1" s="1" t="s">
        <v>132</v>
      </c>
      <c r="H1" s="4">
        <f>L7+L12+L50+L58+L21+L63+L37+L45+L28+L71</f>
        <v>156.27380952380952</v>
      </c>
      <c r="I1" s="654" t="s">
        <v>787</v>
      </c>
      <c r="J1" s="654"/>
      <c r="K1" s="654"/>
      <c r="L1" s="654" t="s">
        <v>134</v>
      </c>
      <c r="M1" s="654"/>
      <c r="N1" s="654"/>
      <c r="O1" s="654" t="s">
        <v>788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789</v>
      </c>
      <c r="Z1" s="6" t="s">
        <v>790</v>
      </c>
      <c r="AA1" s="655" t="s">
        <v>139</v>
      </c>
      <c r="AB1" s="655"/>
      <c r="AC1" s="92" t="s">
        <v>791</v>
      </c>
      <c r="AD1" s="6" t="s">
        <v>140</v>
      </c>
      <c r="AE1" s="654" t="s">
        <v>141</v>
      </c>
      <c r="AF1" s="656"/>
      <c r="AG1" s="656"/>
    </row>
    <row r="2" spans="1:33" ht="26.25" customHeight="1">
      <c r="A2" s="25">
        <v>46211</v>
      </c>
      <c r="B2" s="26" t="s">
        <v>76</v>
      </c>
      <c r="C2" s="2" t="s">
        <v>792</v>
      </c>
      <c r="D2" s="8">
        <f>AVERAGE(N7,N12,N50,N58,N21,N63,N28,N37,N45,N71)</f>
        <v>149.58079014206885</v>
      </c>
      <c r="E2" s="9" t="s">
        <v>0</v>
      </c>
      <c r="F2" s="10">
        <f>F1/D1</f>
        <v>34.320008160044956</v>
      </c>
      <c r="G2" s="1" t="s">
        <v>793</v>
      </c>
      <c r="H2" s="201">
        <f>COUNT(H5:H71)</f>
        <v>9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SUM(Y7+Y12+Y21+Y28+Y37+Y45+Y50+Y58+Y63+Y71)</f>
        <v>0</v>
      </c>
      <c r="Z2" s="11">
        <f>SUM(Z7+Z12+Z21+Z28+Z37+Z45+Z50+Z58+Z63+Z71)</f>
        <v>0</v>
      </c>
      <c r="AA2" s="655"/>
      <c r="AB2" s="655"/>
      <c r="AC2" s="11">
        <v>57</v>
      </c>
      <c r="AD2" s="11">
        <f>SUM(AD7+AD12+AD21+AD28+AD37+AD45+AD50+AD58+AD63+AD71)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794</v>
      </c>
      <c r="C3" s="612" t="s">
        <v>795</v>
      </c>
      <c r="D3" s="612"/>
      <c r="E3" s="652" t="s">
        <v>438</v>
      </c>
      <c r="F3" s="612" t="s">
        <v>148</v>
      </c>
      <c r="G3" s="652" t="s">
        <v>149</v>
      </c>
      <c r="H3" s="645" t="s">
        <v>150</v>
      </c>
      <c r="I3" s="644" t="s">
        <v>796</v>
      </c>
      <c r="J3" s="641" t="s">
        <v>154</v>
      </c>
      <c r="K3" s="650" t="s">
        <v>797</v>
      </c>
      <c r="L3" s="644" t="s">
        <v>796</v>
      </c>
      <c r="M3" s="641" t="s">
        <v>798</v>
      </c>
      <c r="N3" s="650" t="s">
        <v>142</v>
      </c>
      <c r="O3" s="644" t="s">
        <v>153</v>
      </c>
      <c r="P3" s="650" t="s">
        <v>792</v>
      </c>
      <c r="Q3" s="642" t="s">
        <v>799</v>
      </c>
      <c r="R3" s="621" t="s">
        <v>800</v>
      </c>
      <c r="S3" s="651" t="s">
        <v>1</v>
      </c>
      <c r="T3" s="651"/>
      <c r="U3" s="645" t="s">
        <v>2</v>
      </c>
      <c r="V3" s="645" t="s">
        <v>801</v>
      </c>
      <c r="W3" s="612" t="s">
        <v>802</v>
      </c>
      <c r="X3" s="612"/>
      <c r="Y3" s="646" t="s">
        <v>803</v>
      </c>
      <c r="Z3" s="611"/>
      <c r="AA3" s="647" t="s">
        <v>804</v>
      </c>
      <c r="AB3" s="648"/>
      <c r="AC3" s="646" t="s">
        <v>164</v>
      </c>
      <c r="AD3" s="611"/>
      <c r="AE3" s="641" t="s">
        <v>154</v>
      </c>
      <c r="AF3" s="642" t="s">
        <v>158</v>
      </c>
      <c r="AG3" s="621" t="s">
        <v>805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200" t="s">
        <v>3</v>
      </c>
      <c r="T4" s="200" t="s">
        <v>4</v>
      </c>
      <c r="U4" s="645"/>
      <c r="V4" s="645"/>
      <c r="W4" s="192" t="s">
        <v>806</v>
      </c>
      <c r="X4" s="192" t="s">
        <v>807</v>
      </c>
      <c r="Y4" s="190" t="s">
        <v>808</v>
      </c>
      <c r="Z4" s="190" t="s">
        <v>809</v>
      </c>
      <c r="AA4" s="649"/>
      <c r="AB4" s="648"/>
      <c r="AC4" s="190" t="s">
        <v>170</v>
      </c>
      <c r="AD4" s="190" t="s">
        <v>171</v>
      </c>
      <c r="AE4" s="641"/>
      <c r="AF4" s="642"/>
      <c r="AG4" s="621"/>
    </row>
    <row r="5" spans="1:33">
      <c r="A5" s="643" t="s">
        <v>172</v>
      </c>
      <c r="B5" s="27" t="s">
        <v>5</v>
      </c>
      <c r="C5" s="657" t="s">
        <v>14</v>
      </c>
      <c r="D5" s="657"/>
      <c r="E5" s="27">
        <v>50.92</v>
      </c>
      <c r="F5" s="200">
        <v>2464</v>
      </c>
      <c r="G5" s="192">
        <f t="shared" ref="G5:G6" si="0">E5*F5</f>
        <v>125466.88</v>
      </c>
      <c r="H5" s="31" t="s">
        <v>40</v>
      </c>
      <c r="I5" s="198">
        <v>15</v>
      </c>
      <c r="J5" s="29">
        <v>2000</v>
      </c>
      <c r="K5" s="12">
        <f t="shared" ref="K5:K68" si="1">J5/I5</f>
        <v>133.33333333333334</v>
      </c>
      <c r="L5" s="198">
        <v>15</v>
      </c>
      <c r="M5" s="13">
        <f t="shared" ref="M5:M6" si="2">F5/V5*60</f>
        <v>1919.9999999999989</v>
      </c>
      <c r="N5" s="12">
        <f t="shared" ref="N5:N68" si="3">M5/L5</f>
        <v>127.99999999999993</v>
      </c>
      <c r="O5" s="14">
        <f t="shared" ref="O5:O68" si="4">L5-I5</f>
        <v>0</v>
      </c>
      <c r="P5" s="15">
        <f t="shared" ref="P5:P68" si="5">N5-K5</f>
        <v>-5.3333333333334139</v>
      </c>
      <c r="Q5" s="191">
        <f t="shared" ref="Q5:Q68" si="6">N5/K5</f>
        <v>0.95999999999999941</v>
      </c>
      <c r="R5" s="616">
        <f>Q7</f>
        <v>0.96018749999999953</v>
      </c>
      <c r="S5" s="32">
        <v>0.70833333333333337</v>
      </c>
      <c r="T5" s="32">
        <v>0.76180555555555562</v>
      </c>
      <c r="U5" s="192"/>
      <c r="V5" s="199">
        <f t="shared" ref="V5:V6" si="7">(T5-S5)*24*60</f>
        <v>77.000000000000043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7" si="8">M5-J5</f>
        <v>-80.000000000001137</v>
      </c>
      <c r="AF5" s="191">
        <f t="shared" ref="AF5:AF68" si="9">M5/J5</f>
        <v>0.95999999999999941</v>
      </c>
      <c r="AG5" s="616">
        <f>AF7</f>
        <v>0.96018749999999953</v>
      </c>
    </row>
    <row r="6" spans="1:33">
      <c r="A6" s="644" t="s">
        <v>810</v>
      </c>
      <c r="B6" s="27" t="s">
        <v>5</v>
      </c>
      <c r="C6" s="657" t="s">
        <v>19</v>
      </c>
      <c r="D6" s="657"/>
      <c r="E6" s="27">
        <v>50.98</v>
      </c>
      <c r="F6" s="200">
        <v>2561</v>
      </c>
      <c r="G6" s="192">
        <f t="shared" si="0"/>
        <v>130559.78</v>
      </c>
      <c r="H6" s="31" t="s">
        <v>40</v>
      </c>
      <c r="I6" s="198">
        <v>16</v>
      </c>
      <c r="J6" s="29">
        <v>2000</v>
      </c>
      <c r="K6" s="12">
        <f t="shared" si="1"/>
        <v>125</v>
      </c>
      <c r="L6" s="198">
        <v>16</v>
      </c>
      <c r="M6" s="13">
        <f t="shared" si="2"/>
        <v>1920.7499999999993</v>
      </c>
      <c r="N6" s="12">
        <f t="shared" si="3"/>
        <v>120.04687499999996</v>
      </c>
      <c r="O6" s="14">
        <f t="shared" si="4"/>
        <v>0</v>
      </c>
      <c r="P6" s="15">
        <f t="shared" si="5"/>
        <v>-4.9531250000000426</v>
      </c>
      <c r="Q6" s="191">
        <f t="shared" si="6"/>
        <v>0.96037499999999965</v>
      </c>
      <c r="R6" s="616"/>
      <c r="S6" s="32">
        <v>0.76666666666666672</v>
      </c>
      <c r="T6" s="32">
        <v>0.8222222222222223</v>
      </c>
      <c r="U6" s="192">
        <f t="shared" ref="U6" si="10">IF(S6=TIME(17,0,0),"",(S6-T5)*24*60)</f>
        <v>6.9999999999999751</v>
      </c>
      <c r="V6" s="199">
        <f t="shared" si="7"/>
        <v>80.000000000000028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-79.250000000000682</v>
      </c>
      <c r="AF6" s="191">
        <f t="shared" si="9"/>
        <v>0.96037499999999965</v>
      </c>
      <c r="AG6" s="616"/>
    </row>
    <row r="7" spans="1:33">
      <c r="A7" s="644" t="s">
        <v>811</v>
      </c>
      <c r="B7" s="27" t="s">
        <v>812</v>
      </c>
      <c r="C7" s="658"/>
      <c r="D7" s="658"/>
      <c r="E7" s="193"/>
      <c r="F7" s="28"/>
      <c r="G7" s="12"/>
      <c r="H7" s="200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1920.3749999999991</v>
      </c>
      <c r="N7" s="12">
        <f t="shared" si="3"/>
        <v>123.89516129032252</v>
      </c>
      <c r="O7" s="14">
        <f t="shared" si="4"/>
        <v>0</v>
      </c>
      <c r="P7" s="15">
        <f t="shared" si="5"/>
        <v>-5.1370967741936084</v>
      </c>
      <c r="Q7" s="191">
        <f t="shared" si="6"/>
        <v>0.96018749999999953</v>
      </c>
      <c r="R7" s="616"/>
      <c r="S7" s="32"/>
      <c r="T7" s="32"/>
      <c r="U7" s="192"/>
      <c r="V7" s="199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-79.625000000000909</v>
      </c>
      <c r="AF7" s="191">
        <f t="shared" si="9"/>
        <v>0.96018749999999953</v>
      </c>
      <c r="AG7" s="616"/>
    </row>
    <row r="8" spans="1:33" ht="15.75" customHeight="1">
      <c r="A8" s="640" t="s">
        <v>813</v>
      </c>
      <c r="B8" s="27" t="s">
        <v>8</v>
      </c>
      <c r="C8" s="638" t="s">
        <v>9</v>
      </c>
      <c r="D8" s="639"/>
      <c r="E8" s="27">
        <v>39.619999999999997</v>
      </c>
      <c r="F8" s="200">
        <v>4302</v>
      </c>
      <c r="G8" s="192">
        <f t="shared" ref="G8:G11" si="11">E8*F8</f>
        <v>170445.24</v>
      </c>
      <c r="H8" s="31" t="s">
        <v>40</v>
      </c>
      <c r="I8" s="198">
        <v>19</v>
      </c>
      <c r="J8" s="29">
        <v>1500</v>
      </c>
      <c r="K8" s="12">
        <f t="shared" si="1"/>
        <v>78.94736842105263</v>
      </c>
      <c r="L8" s="198">
        <v>19</v>
      </c>
      <c r="M8" s="13">
        <f t="shared" ref="M8:M11" si="12">F8/V8*60</f>
        <v>1434.0000000000002</v>
      </c>
      <c r="N8" s="12">
        <f t="shared" si="3"/>
        <v>75.473684210526329</v>
      </c>
      <c r="O8" s="14">
        <f t="shared" si="4"/>
        <v>0</v>
      </c>
      <c r="P8" s="15">
        <f t="shared" si="5"/>
        <v>-3.4736842105263008</v>
      </c>
      <c r="Q8" s="191">
        <f t="shared" si="6"/>
        <v>0.95600000000000018</v>
      </c>
      <c r="R8" s="616">
        <f>Q12</f>
        <v>0.9546148459383752</v>
      </c>
      <c r="S8" s="32">
        <v>8.3333333333333329E-2</v>
      </c>
      <c r="T8" s="32">
        <v>0.20833333333333331</v>
      </c>
      <c r="U8" s="192"/>
      <c r="V8" s="199">
        <f t="shared" ref="V8:V11" si="13">(T8-S8)*24*60</f>
        <v>179.99999999999997</v>
      </c>
      <c r="W8" s="16">
        <f>T8</f>
        <v>0.20833333333333331</v>
      </c>
      <c r="X8" s="16">
        <f>S9</f>
        <v>0.2298611111111111</v>
      </c>
      <c r="Y8" s="16"/>
      <c r="Z8" s="16"/>
      <c r="AA8" s="612"/>
      <c r="AB8" s="612"/>
      <c r="AC8" s="18">
        <v>4</v>
      </c>
      <c r="AD8" s="18"/>
      <c r="AE8" s="14">
        <f t="shared" si="8"/>
        <v>-65.999999999999773</v>
      </c>
      <c r="AF8" s="191">
        <f t="shared" si="9"/>
        <v>0.95600000000000018</v>
      </c>
      <c r="AG8" s="616">
        <f>AF12</f>
        <v>0.95461484593837531</v>
      </c>
    </row>
    <row r="9" spans="1:33" ht="15.75" customHeight="1">
      <c r="A9" s="640" t="s">
        <v>813</v>
      </c>
      <c r="B9" s="27" t="s">
        <v>8</v>
      </c>
      <c r="C9" s="638" t="s">
        <v>63</v>
      </c>
      <c r="D9" s="639"/>
      <c r="E9" s="27">
        <v>39.46</v>
      </c>
      <c r="F9" s="200">
        <v>3731</v>
      </c>
      <c r="G9" s="192">
        <f t="shared" si="11"/>
        <v>147225.26</v>
      </c>
      <c r="H9" s="31" t="s">
        <v>40</v>
      </c>
      <c r="I9" s="198">
        <v>15</v>
      </c>
      <c r="J9" s="29">
        <v>1500</v>
      </c>
      <c r="K9" s="12">
        <f t="shared" si="1"/>
        <v>100</v>
      </c>
      <c r="L9" s="198">
        <v>15</v>
      </c>
      <c r="M9" s="13">
        <f t="shared" si="12"/>
        <v>1434.9999999999995</v>
      </c>
      <c r="N9" s="12">
        <f t="shared" si="3"/>
        <v>95.666666666666643</v>
      </c>
      <c r="O9" s="14">
        <f t="shared" si="4"/>
        <v>0</v>
      </c>
      <c r="P9" s="15">
        <f t="shared" si="5"/>
        <v>-4.333333333333357</v>
      </c>
      <c r="Q9" s="191">
        <f t="shared" si="6"/>
        <v>0.95666666666666644</v>
      </c>
      <c r="R9" s="616"/>
      <c r="S9" s="32">
        <v>0.2298611111111111</v>
      </c>
      <c r="T9" s="32">
        <v>0.33819444444444446</v>
      </c>
      <c r="U9" s="192">
        <f t="shared" ref="U9:U11" si="14">IF(S9=TIME(17,0,0),"",(S9-T8)*24*60)</f>
        <v>31.000000000000011</v>
      </c>
      <c r="V9" s="199">
        <f t="shared" si="13"/>
        <v>156.00000000000003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-65.000000000000455</v>
      </c>
      <c r="AF9" s="191">
        <f t="shared" si="9"/>
        <v>0.95666666666666633</v>
      </c>
      <c r="AG9" s="616"/>
    </row>
    <row r="10" spans="1:33" ht="15.75" customHeight="1">
      <c r="A10" s="640" t="s">
        <v>813</v>
      </c>
      <c r="B10" s="27" t="s">
        <v>8</v>
      </c>
      <c r="C10" s="638" t="s">
        <v>10</v>
      </c>
      <c r="D10" s="639"/>
      <c r="E10" s="27">
        <v>39.799999999999997</v>
      </c>
      <c r="F10" s="200">
        <v>5000</v>
      </c>
      <c r="G10" s="192">
        <f t="shared" si="11"/>
        <v>199000</v>
      </c>
      <c r="H10" s="31">
        <v>2</v>
      </c>
      <c r="I10" s="198">
        <v>17</v>
      </c>
      <c r="J10" s="29">
        <v>1500</v>
      </c>
      <c r="K10" s="12">
        <f t="shared" si="1"/>
        <v>88.235294117647058</v>
      </c>
      <c r="L10" s="198">
        <v>17</v>
      </c>
      <c r="M10" s="13">
        <f t="shared" si="12"/>
        <v>1428.5714285714282</v>
      </c>
      <c r="N10" s="12">
        <f t="shared" si="3"/>
        <v>84.033613445378137</v>
      </c>
      <c r="O10" s="14">
        <f t="shared" si="4"/>
        <v>0</v>
      </c>
      <c r="P10" s="15">
        <f t="shared" si="5"/>
        <v>-4.2016806722689211</v>
      </c>
      <c r="Q10" s="191">
        <f t="shared" si="6"/>
        <v>0.95238095238095222</v>
      </c>
      <c r="R10" s="616"/>
      <c r="S10" s="32">
        <v>0.34166666666666667</v>
      </c>
      <c r="T10" s="32">
        <v>0.48750000000000004</v>
      </c>
      <c r="U10" s="192">
        <f t="shared" si="14"/>
        <v>4.9999999999999822</v>
      </c>
      <c r="V10" s="199">
        <f t="shared" si="13"/>
        <v>210.00000000000006</v>
      </c>
      <c r="W10" s="16">
        <f>T10</f>
        <v>0.48750000000000004</v>
      </c>
      <c r="X10" s="16">
        <f>S11</f>
        <v>0.52847222222222223</v>
      </c>
      <c r="Y10" s="16"/>
      <c r="Z10" s="16"/>
      <c r="AA10" s="612"/>
      <c r="AB10" s="612"/>
      <c r="AC10" s="18"/>
      <c r="AD10" s="18"/>
      <c r="AE10" s="14">
        <f t="shared" si="8"/>
        <v>-71.428571428571786</v>
      </c>
      <c r="AF10" s="191">
        <f t="shared" si="9"/>
        <v>0.95238095238095211</v>
      </c>
      <c r="AG10" s="616"/>
    </row>
    <row r="11" spans="1:33" ht="15.75" customHeight="1">
      <c r="A11" s="640" t="s">
        <v>814</v>
      </c>
      <c r="B11" s="27" t="s">
        <v>8</v>
      </c>
      <c r="C11" s="638" t="s">
        <v>10</v>
      </c>
      <c r="D11" s="639"/>
      <c r="E11" s="27">
        <v>39.799999999999997</v>
      </c>
      <c r="F11" s="200">
        <v>2026</v>
      </c>
      <c r="G11" s="192">
        <f t="shared" si="11"/>
        <v>80634.799999999988</v>
      </c>
      <c r="H11" s="31" t="s">
        <v>40</v>
      </c>
      <c r="I11" s="198">
        <v>17</v>
      </c>
      <c r="J11" s="29">
        <v>1500</v>
      </c>
      <c r="K11" s="12">
        <f t="shared" si="1"/>
        <v>88.235294117647058</v>
      </c>
      <c r="L11" s="198">
        <v>17</v>
      </c>
      <c r="M11" s="13">
        <f t="shared" si="12"/>
        <v>1430.1176470588234</v>
      </c>
      <c r="N11" s="12">
        <f t="shared" si="3"/>
        <v>84.124567474048433</v>
      </c>
      <c r="O11" s="14">
        <f t="shared" si="4"/>
        <v>0</v>
      </c>
      <c r="P11" s="15">
        <f t="shared" si="5"/>
        <v>-4.1107266435986247</v>
      </c>
      <c r="Q11" s="191">
        <f t="shared" si="6"/>
        <v>0.95341176470588229</v>
      </c>
      <c r="R11" s="616"/>
      <c r="S11" s="32">
        <v>0.52847222222222223</v>
      </c>
      <c r="T11" s="32">
        <v>0.58750000000000002</v>
      </c>
      <c r="U11" s="192">
        <f t="shared" si="14"/>
        <v>58.99999999999995</v>
      </c>
      <c r="V11" s="199">
        <f t="shared" si="13"/>
        <v>85.000000000000014</v>
      </c>
      <c r="W11" s="16"/>
      <c r="X11" s="16"/>
      <c r="Y11" s="16"/>
      <c r="Z11" s="16"/>
      <c r="AA11" s="607"/>
      <c r="AB11" s="608"/>
      <c r="AC11" s="18"/>
      <c r="AD11" s="18"/>
      <c r="AE11" s="14">
        <f t="shared" si="8"/>
        <v>-69.882352941176578</v>
      </c>
      <c r="AF11" s="191">
        <f t="shared" si="9"/>
        <v>0.95341176470588229</v>
      </c>
      <c r="AG11" s="616"/>
    </row>
    <row r="12" spans="1:33" ht="16.5" customHeight="1">
      <c r="A12" s="640" t="s">
        <v>815</v>
      </c>
      <c r="B12" s="27" t="s">
        <v>816</v>
      </c>
      <c r="C12" s="658"/>
      <c r="D12" s="658"/>
      <c r="E12" s="193"/>
      <c r="F12" s="29"/>
      <c r="G12" s="13"/>
      <c r="H12" s="200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1431.922268907563</v>
      </c>
      <c r="N12" s="12">
        <f t="shared" si="3"/>
        <v>84.230721700444875</v>
      </c>
      <c r="O12" s="14">
        <f t="shared" si="4"/>
        <v>0</v>
      </c>
      <c r="P12" s="15">
        <f t="shared" si="5"/>
        <v>-4.0045724172021835</v>
      </c>
      <c r="Q12" s="191">
        <f t="shared" si="6"/>
        <v>0.9546148459383752</v>
      </c>
      <c r="R12" s="616"/>
      <c r="S12" s="32"/>
      <c r="T12" s="32"/>
      <c r="U12" s="12"/>
      <c r="V12" s="199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-68.077731092437034</v>
      </c>
      <c r="AF12" s="191">
        <f t="shared" si="9"/>
        <v>0.95461484593837531</v>
      </c>
      <c r="AG12" s="616"/>
    </row>
    <row r="13" spans="1:33" ht="16.5" customHeight="1">
      <c r="A13" s="636" t="s">
        <v>178</v>
      </c>
      <c r="B13" s="200" t="s">
        <v>11</v>
      </c>
      <c r="C13" s="659" t="s">
        <v>67</v>
      </c>
      <c r="D13" s="659"/>
      <c r="E13" s="27">
        <v>38.619999999999997</v>
      </c>
      <c r="F13" s="200">
        <v>2439</v>
      </c>
      <c r="G13" s="192">
        <f t="shared" ref="G13:G20" si="15">E13*F13</f>
        <v>94194.18</v>
      </c>
      <c r="H13" s="31" t="s">
        <v>40</v>
      </c>
      <c r="I13" s="198">
        <v>24</v>
      </c>
      <c r="J13" s="29">
        <v>1500</v>
      </c>
      <c r="K13" s="12">
        <f t="shared" si="1"/>
        <v>62.5</v>
      </c>
      <c r="L13" s="198">
        <v>24</v>
      </c>
      <c r="M13" s="13">
        <f t="shared" ref="M13:M20" si="16">F13/V13*60</f>
        <v>1434.705882352941</v>
      </c>
      <c r="N13" s="12">
        <f t="shared" si="3"/>
        <v>59.779411764705877</v>
      </c>
      <c r="O13" s="14">
        <f t="shared" si="4"/>
        <v>0</v>
      </c>
      <c r="P13" s="15">
        <f t="shared" si="5"/>
        <v>-2.7205882352941231</v>
      </c>
      <c r="Q13" s="191">
        <f t="shared" si="6"/>
        <v>0.95647058823529407</v>
      </c>
      <c r="R13" s="616">
        <f>Q21</f>
        <v>0.95963288069941011</v>
      </c>
      <c r="S13" s="32">
        <v>8.3333333333333329E-2</v>
      </c>
      <c r="T13" s="32">
        <v>0.15416666666666667</v>
      </c>
      <c r="U13" s="192"/>
      <c r="V13" s="199">
        <f t="shared" ref="V13:V20" si="17">(T13-S13)*24*60</f>
        <v>102.00000000000001</v>
      </c>
      <c r="W13" s="16">
        <f>T13</f>
        <v>0.15416666666666667</v>
      </c>
      <c r="X13" s="16">
        <f>S14</f>
        <v>0.17361111111111113</v>
      </c>
      <c r="Y13" s="20"/>
      <c r="Z13" s="20"/>
      <c r="AA13" s="612"/>
      <c r="AB13" s="612"/>
      <c r="AC13" s="18">
        <v>8</v>
      </c>
      <c r="AD13" s="18"/>
      <c r="AE13" s="14">
        <f t="shared" si="8"/>
        <v>-65.294117647059011</v>
      </c>
      <c r="AF13" s="191">
        <f t="shared" si="9"/>
        <v>0.95647058823529396</v>
      </c>
      <c r="AG13" s="616">
        <f>AF21</f>
        <v>0.95963288069941011</v>
      </c>
    </row>
    <row r="14" spans="1:33" ht="16.5" customHeight="1">
      <c r="A14" s="637" t="s">
        <v>817</v>
      </c>
      <c r="B14" s="200" t="s">
        <v>11</v>
      </c>
      <c r="C14" s="659" t="s">
        <v>12</v>
      </c>
      <c r="D14" s="659"/>
      <c r="E14" s="27">
        <v>41</v>
      </c>
      <c r="F14" s="200">
        <v>2189</v>
      </c>
      <c r="G14" s="192">
        <f t="shared" si="15"/>
        <v>89749</v>
      </c>
      <c r="H14" s="31" t="s">
        <v>40</v>
      </c>
      <c r="I14" s="198">
        <v>26</v>
      </c>
      <c r="J14" s="29">
        <v>1500</v>
      </c>
      <c r="K14" s="12">
        <f t="shared" si="1"/>
        <v>57.692307692307693</v>
      </c>
      <c r="L14" s="198">
        <v>26</v>
      </c>
      <c r="M14" s="13">
        <f t="shared" si="16"/>
        <v>1427.6086956521735</v>
      </c>
      <c r="N14" s="12">
        <f t="shared" si="3"/>
        <v>54.908026755852831</v>
      </c>
      <c r="O14" s="14">
        <f t="shared" si="4"/>
        <v>0</v>
      </c>
      <c r="P14" s="15">
        <f t="shared" si="5"/>
        <v>-2.7842809364548629</v>
      </c>
      <c r="Q14" s="191">
        <f t="shared" si="6"/>
        <v>0.95173913043478242</v>
      </c>
      <c r="R14" s="616"/>
      <c r="S14" s="32">
        <v>0.17361111111111113</v>
      </c>
      <c r="T14" s="32">
        <v>0.23750000000000004</v>
      </c>
      <c r="U14" s="192">
        <f t="shared" ref="U14:U20" si="18">IF(S14=TIME(17,0,0),"",(S14-T13)*24*60)</f>
        <v>28.000000000000021</v>
      </c>
      <c r="V14" s="199">
        <f t="shared" si="17"/>
        <v>92.000000000000028</v>
      </c>
      <c r="W14" s="16"/>
      <c r="X14" s="16"/>
      <c r="Y14" s="16"/>
      <c r="Z14" s="16"/>
      <c r="AA14" s="612"/>
      <c r="AB14" s="612"/>
      <c r="AC14" s="18"/>
      <c r="AD14" s="18"/>
      <c r="AE14" s="14">
        <f t="shared" si="8"/>
        <v>-72.391304347826463</v>
      </c>
      <c r="AF14" s="191">
        <f t="shared" si="9"/>
        <v>0.95173913043478231</v>
      </c>
      <c r="AG14" s="616"/>
    </row>
    <row r="15" spans="1:33" ht="16.5" customHeight="1">
      <c r="A15" s="637" t="s">
        <v>818</v>
      </c>
      <c r="B15" s="200" t="s">
        <v>5</v>
      </c>
      <c r="C15" s="659" t="s">
        <v>66</v>
      </c>
      <c r="D15" s="659"/>
      <c r="E15" s="27">
        <v>37.03</v>
      </c>
      <c r="F15" s="200">
        <v>3986</v>
      </c>
      <c r="G15" s="192">
        <f t="shared" si="15"/>
        <v>147601.58000000002</v>
      </c>
      <c r="H15" s="31" t="s">
        <v>40</v>
      </c>
      <c r="I15" s="198">
        <v>13</v>
      </c>
      <c r="J15" s="29">
        <v>1500</v>
      </c>
      <c r="K15" s="12">
        <f t="shared" si="1"/>
        <v>115.38461538461539</v>
      </c>
      <c r="L15" s="198">
        <v>13</v>
      </c>
      <c r="M15" s="13">
        <f t="shared" si="16"/>
        <v>1432.0958083832338</v>
      </c>
      <c r="N15" s="12">
        <f t="shared" si="3"/>
        <v>110.16121602947952</v>
      </c>
      <c r="O15" s="14">
        <f t="shared" si="4"/>
        <v>0</v>
      </c>
      <c r="P15" s="15">
        <f t="shared" si="5"/>
        <v>-5.2233993551358679</v>
      </c>
      <c r="Q15" s="191">
        <f t="shared" si="6"/>
        <v>0.95473053892215576</v>
      </c>
      <c r="R15" s="616"/>
      <c r="S15" s="32">
        <v>0.24097222222222225</v>
      </c>
      <c r="T15" s="32">
        <v>0.35694444444444445</v>
      </c>
      <c r="U15" s="192">
        <f t="shared" si="18"/>
        <v>4.9999999999999822</v>
      </c>
      <c r="V15" s="199">
        <f t="shared" si="17"/>
        <v>166.99999999999997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-67.904191616766184</v>
      </c>
      <c r="AF15" s="191">
        <f t="shared" si="9"/>
        <v>0.95473053892215587</v>
      </c>
      <c r="AG15" s="616"/>
    </row>
    <row r="16" spans="1:33" ht="16.5" customHeight="1">
      <c r="A16" s="637" t="s">
        <v>819</v>
      </c>
      <c r="B16" s="200" t="s">
        <v>8</v>
      </c>
      <c r="C16" s="659" t="s">
        <v>74</v>
      </c>
      <c r="D16" s="659"/>
      <c r="E16" s="27">
        <v>39.520000000000003</v>
      </c>
      <c r="F16" s="200">
        <v>3122</v>
      </c>
      <c r="G16" s="192">
        <f t="shared" si="15"/>
        <v>123381.44000000002</v>
      </c>
      <c r="H16" s="31" t="s">
        <v>40</v>
      </c>
      <c r="I16" s="198">
        <v>19</v>
      </c>
      <c r="J16" s="29">
        <v>1500</v>
      </c>
      <c r="K16" s="12">
        <f t="shared" si="1"/>
        <v>78.94736842105263</v>
      </c>
      <c r="L16" s="198">
        <v>19</v>
      </c>
      <c r="M16" s="13">
        <f t="shared" si="16"/>
        <v>1429.9236641221376</v>
      </c>
      <c r="N16" s="12">
        <f t="shared" si="3"/>
        <v>75.259140216954606</v>
      </c>
      <c r="O16" s="14">
        <f t="shared" si="4"/>
        <v>0</v>
      </c>
      <c r="P16" s="15">
        <f t="shared" si="5"/>
        <v>-3.6882282040980243</v>
      </c>
      <c r="Q16" s="191">
        <f t="shared" si="6"/>
        <v>0.95328244274809171</v>
      </c>
      <c r="R16" s="616"/>
      <c r="S16" s="32">
        <v>0.36041666666666666</v>
      </c>
      <c r="T16" s="32">
        <v>0.4513888888888889</v>
      </c>
      <c r="U16" s="192">
        <f t="shared" si="18"/>
        <v>4.9999999999999822</v>
      </c>
      <c r="V16" s="199">
        <f t="shared" si="17"/>
        <v>131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-70.076335877862448</v>
      </c>
      <c r="AF16" s="191">
        <f t="shared" si="9"/>
        <v>0.95328244274809171</v>
      </c>
      <c r="AG16" s="616"/>
    </row>
    <row r="17" spans="1:33" ht="16.5" customHeight="1">
      <c r="A17" s="637" t="s">
        <v>817</v>
      </c>
      <c r="B17" s="200" t="s">
        <v>5</v>
      </c>
      <c r="C17" s="659" t="s">
        <v>6</v>
      </c>
      <c r="D17" s="659"/>
      <c r="E17" s="27">
        <v>50.67</v>
      </c>
      <c r="F17" s="200">
        <v>1642</v>
      </c>
      <c r="G17" s="192">
        <f t="shared" si="15"/>
        <v>83200.14</v>
      </c>
      <c r="H17" s="31" t="s">
        <v>40</v>
      </c>
      <c r="I17" s="198">
        <v>17</v>
      </c>
      <c r="J17" s="29">
        <v>2000</v>
      </c>
      <c r="K17" s="12">
        <f t="shared" si="1"/>
        <v>117.64705882352941</v>
      </c>
      <c r="L17" s="198">
        <v>17</v>
      </c>
      <c r="M17" s="13">
        <f t="shared" si="16"/>
        <v>1931.7647058823538</v>
      </c>
      <c r="N17" s="12">
        <f t="shared" si="3"/>
        <v>113.63321799307964</v>
      </c>
      <c r="O17" s="14">
        <f t="shared" si="4"/>
        <v>0</v>
      </c>
      <c r="P17" s="15">
        <f t="shared" si="5"/>
        <v>-4.0138408304497659</v>
      </c>
      <c r="Q17" s="191">
        <f t="shared" si="6"/>
        <v>0.96588235294117697</v>
      </c>
      <c r="R17" s="616"/>
      <c r="S17" s="32">
        <v>0.70833333333333337</v>
      </c>
      <c r="T17" s="32">
        <v>0.74375000000000002</v>
      </c>
      <c r="U17" s="192" t="str">
        <f t="shared" si="18"/>
        <v/>
      </c>
      <c r="V17" s="199">
        <f t="shared" si="17"/>
        <v>50.999999999999979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-68.235294117646163</v>
      </c>
      <c r="AF17" s="191">
        <f t="shared" si="9"/>
        <v>0.96588235294117697</v>
      </c>
      <c r="AG17" s="616"/>
    </row>
    <row r="18" spans="1:33" ht="16.5" customHeight="1">
      <c r="A18" s="637" t="s">
        <v>818</v>
      </c>
      <c r="B18" s="200" t="s">
        <v>5</v>
      </c>
      <c r="C18" s="106" t="s">
        <v>7</v>
      </c>
      <c r="D18" s="107"/>
      <c r="E18" s="27">
        <v>50.67</v>
      </c>
      <c r="F18" s="200">
        <v>1611</v>
      </c>
      <c r="G18" s="192">
        <f t="shared" si="15"/>
        <v>81629.37000000001</v>
      </c>
      <c r="H18" s="31" t="s">
        <v>40</v>
      </c>
      <c r="I18" s="198">
        <v>15</v>
      </c>
      <c r="J18" s="29">
        <v>2000</v>
      </c>
      <c r="K18" s="12">
        <f t="shared" si="1"/>
        <v>133.33333333333334</v>
      </c>
      <c r="L18" s="198">
        <v>15</v>
      </c>
      <c r="M18" s="13">
        <f t="shared" si="16"/>
        <v>1933.2000000000003</v>
      </c>
      <c r="N18" s="12">
        <f t="shared" si="3"/>
        <v>128.88000000000002</v>
      </c>
      <c r="O18" s="14">
        <f t="shared" si="4"/>
        <v>0</v>
      </c>
      <c r="P18" s="15">
        <f t="shared" si="5"/>
        <v>-4.4533333333333189</v>
      </c>
      <c r="Q18" s="191">
        <f t="shared" si="6"/>
        <v>0.96660000000000013</v>
      </c>
      <c r="R18" s="616"/>
      <c r="S18" s="32">
        <v>0.74791666666666667</v>
      </c>
      <c r="T18" s="32">
        <v>0.78263888888888888</v>
      </c>
      <c r="U18" s="192">
        <f t="shared" si="18"/>
        <v>5.9999999999999787</v>
      </c>
      <c r="V18" s="199">
        <f t="shared" si="17"/>
        <v>49.999999999999986</v>
      </c>
      <c r="W18" s="16"/>
      <c r="X18" s="16"/>
      <c r="Y18" s="19"/>
      <c r="Z18" s="19"/>
      <c r="AA18" s="196"/>
      <c r="AB18" s="197"/>
      <c r="AC18" s="18"/>
      <c r="AD18" s="18"/>
      <c r="AE18" s="14">
        <f t="shared" si="8"/>
        <v>-66.799999999999727</v>
      </c>
      <c r="AF18" s="191">
        <f t="shared" si="9"/>
        <v>0.96660000000000013</v>
      </c>
      <c r="AG18" s="616"/>
    </row>
    <row r="19" spans="1:33" ht="16.5" customHeight="1">
      <c r="A19" s="637" t="s">
        <v>819</v>
      </c>
      <c r="B19" s="200" t="s">
        <v>5</v>
      </c>
      <c r="C19" s="106" t="s">
        <v>615</v>
      </c>
      <c r="D19" s="107"/>
      <c r="E19" s="27">
        <v>54.5</v>
      </c>
      <c r="F19" s="200">
        <v>1500</v>
      </c>
      <c r="G19" s="192">
        <f t="shared" si="15"/>
        <v>81750</v>
      </c>
      <c r="H19" s="31">
        <v>2</v>
      </c>
      <c r="I19" s="198">
        <v>20</v>
      </c>
      <c r="J19" s="29">
        <v>1500</v>
      </c>
      <c r="K19" s="12">
        <f t="shared" si="1"/>
        <v>75</v>
      </c>
      <c r="L19" s="198">
        <v>20</v>
      </c>
      <c r="M19" s="13">
        <f t="shared" si="16"/>
        <v>1451.6129032258077</v>
      </c>
      <c r="N19" s="12">
        <f t="shared" si="3"/>
        <v>72.580645161290391</v>
      </c>
      <c r="O19" s="14">
        <f t="shared" si="4"/>
        <v>0</v>
      </c>
      <c r="P19" s="15">
        <f t="shared" si="5"/>
        <v>-2.4193548387096087</v>
      </c>
      <c r="Q19" s="191">
        <f t="shared" si="6"/>
        <v>0.96774193548387188</v>
      </c>
      <c r="R19" s="616"/>
      <c r="S19" s="32">
        <v>0.78611111111111109</v>
      </c>
      <c r="T19" s="32">
        <v>0.82916666666666661</v>
      </c>
      <c r="U19" s="192">
        <f t="shared" si="18"/>
        <v>4.9999999999999822</v>
      </c>
      <c r="V19" s="199">
        <f t="shared" si="17"/>
        <v>61.999999999999943</v>
      </c>
      <c r="W19" s="16">
        <f>T19</f>
        <v>0.82916666666666661</v>
      </c>
      <c r="X19" s="16">
        <f>S20</f>
        <v>0.87083333333333324</v>
      </c>
      <c r="Y19" s="19"/>
      <c r="Z19" s="19"/>
      <c r="AA19" s="196"/>
      <c r="AB19" s="197"/>
      <c r="AC19" s="18"/>
      <c r="AD19" s="18"/>
      <c r="AE19" s="14">
        <f t="shared" si="8"/>
        <v>-48.387096774192287</v>
      </c>
      <c r="AF19" s="191">
        <f t="shared" si="9"/>
        <v>0.96774193548387177</v>
      </c>
      <c r="AG19" s="616"/>
    </row>
    <row r="20" spans="1:33" ht="16.5" customHeight="1">
      <c r="A20" s="637" t="s">
        <v>178</v>
      </c>
      <c r="B20" s="200" t="s">
        <v>5</v>
      </c>
      <c r="C20" s="106" t="s">
        <v>615</v>
      </c>
      <c r="D20" s="107"/>
      <c r="E20" s="27">
        <v>54.5</v>
      </c>
      <c r="F20" s="200">
        <v>2271</v>
      </c>
      <c r="G20" s="192">
        <f t="shared" si="15"/>
        <v>123769.5</v>
      </c>
      <c r="H20" s="31" t="s">
        <v>40</v>
      </c>
      <c r="I20" s="198">
        <v>20</v>
      </c>
      <c r="J20" s="29">
        <v>1500</v>
      </c>
      <c r="K20" s="12">
        <f t="shared" si="1"/>
        <v>75</v>
      </c>
      <c r="L20" s="198">
        <v>20</v>
      </c>
      <c r="M20" s="13">
        <f t="shared" si="16"/>
        <v>1434.3157894736844</v>
      </c>
      <c r="N20" s="12">
        <f t="shared" si="3"/>
        <v>71.715789473684225</v>
      </c>
      <c r="O20" s="14">
        <f t="shared" si="4"/>
        <v>0</v>
      </c>
      <c r="P20" s="15">
        <f t="shared" si="5"/>
        <v>-3.2842105263157748</v>
      </c>
      <c r="Q20" s="191">
        <f t="shared" si="6"/>
        <v>0.95621052631578962</v>
      </c>
      <c r="R20" s="616"/>
      <c r="S20" s="32">
        <v>0.87083333333333324</v>
      </c>
      <c r="T20" s="32">
        <v>0.93680555555555545</v>
      </c>
      <c r="U20" s="192">
        <f t="shared" si="18"/>
        <v>59.999999999999943</v>
      </c>
      <c r="V20" s="199">
        <f t="shared" si="17"/>
        <v>94.999999999999986</v>
      </c>
      <c r="W20" s="16"/>
      <c r="X20" s="16"/>
      <c r="Y20" s="19"/>
      <c r="Z20" s="19"/>
      <c r="AA20" s="196"/>
      <c r="AB20" s="197"/>
      <c r="AC20" s="18"/>
      <c r="AD20" s="18"/>
      <c r="AE20" s="14">
        <f t="shared" si="8"/>
        <v>-65.68421052631561</v>
      </c>
      <c r="AF20" s="191">
        <f t="shared" si="9"/>
        <v>0.95621052631578962</v>
      </c>
      <c r="AG20" s="616"/>
    </row>
    <row r="21" spans="1:33" ht="16.5" customHeight="1">
      <c r="A21" s="637" t="s">
        <v>818</v>
      </c>
      <c r="B21" s="27" t="s">
        <v>816</v>
      </c>
      <c r="C21" s="658"/>
      <c r="D21" s="658"/>
      <c r="E21" s="193"/>
      <c r="F21" s="28"/>
      <c r="G21" s="12"/>
      <c r="H21" s="200"/>
      <c r="I21" s="21">
        <v>19.25</v>
      </c>
      <c r="J21" s="29">
        <v>1625</v>
      </c>
      <c r="K21" s="12">
        <f t="shared" si="1"/>
        <v>84.415584415584419</v>
      </c>
      <c r="L21" s="21">
        <v>19.25</v>
      </c>
      <c r="M21" s="13">
        <f>AVERAGE(M13:M20)</f>
        <v>1559.4034311365415</v>
      </c>
      <c r="N21" s="12">
        <f t="shared" si="3"/>
        <v>81.007970448651506</v>
      </c>
      <c r="O21" s="14">
        <f t="shared" si="4"/>
        <v>0</v>
      </c>
      <c r="P21" s="15">
        <f t="shared" si="5"/>
        <v>-3.4076139669329137</v>
      </c>
      <c r="Q21" s="191">
        <f t="shared" si="6"/>
        <v>0.95963288069941011</v>
      </c>
      <c r="R21" s="616"/>
      <c r="S21" s="32"/>
      <c r="T21" s="32"/>
      <c r="U21" s="192"/>
      <c r="V21" s="199"/>
      <c r="W21" s="12"/>
      <c r="X21" s="12"/>
      <c r="Y21" s="22">
        <f>SUM(Y13:Y20)</f>
        <v>0</v>
      </c>
      <c r="Z21" s="22">
        <f>SUM(Z13:Z20)</f>
        <v>0</v>
      </c>
      <c r="AA21" s="611"/>
      <c r="AB21" s="611"/>
      <c r="AC21" s="22">
        <v>8</v>
      </c>
      <c r="AD21" s="22">
        <f>SUM(AD13:AD20)</f>
        <v>0</v>
      </c>
      <c r="AE21" s="14">
        <f t="shared" si="8"/>
        <v>-65.596568863458515</v>
      </c>
      <c r="AF21" s="191">
        <f t="shared" si="9"/>
        <v>0.95963288069941011</v>
      </c>
      <c r="AG21" s="616"/>
    </row>
    <row r="22" spans="1:33" ht="15.75" customHeight="1">
      <c r="A22" s="634" t="s">
        <v>280</v>
      </c>
      <c r="B22" s="27" t="s">
        <v>5</v>
      </c>
      <c r="C22" s="659" t="s">
        <v>16</v>
      </c>
      <c r="D22" s="659"/>
      <c r="E22" s="27">
        <v>50.67</v>
      </c>
      <c r="F22" s="200">
        <v>1905</v>
      </c>
      <c r="G22" s="192">
        <f t="shared" ref="G22:G27" si="19">E22*F22</f>
        <v>96526.35</v>
      </c>
      <c r="H22" s="31" t="s">
        <v>40</v>
      </c>
      <c r="I22" s="198">
        <v>17</v>
      </c>
      <c r="J22" s="29">
        <v>2000</v>
      </c>
      <c r="K22" s="12">
        <f t="shared" si="1"/>
        <v>117.64705882352941</v>
      </c>
      <c r="L22" s="198">
        <v>17</v>
      </c>
      <c r="M22" s="13">
        <f t="shared" ref="M22:M27" si="20">F22/V22*60</f>
        <v>1905.0000000000005</v>
      </c>
      <c r="N22" s="12">
        <f t="shared" si="3"/>
        <v>112.0588235294118</v>
      </c>
      <c r="O22" s="14">
        <f t="shared" si="4"/>
        <v>0</v>
      </c>
      <c r="P22" s="15">
        <f t="shared" si="5"/>
        <v>-5.5882352941176094</v>
      </c>
      <c r="Q22" s="191">
        <f t="shared" si="6"/>
        <v>0.95250000000000035</v>
      </c>
      <c r="R22" s="616">
        <f>Q28</f>
        <v>0.95569703682755192</v>
      </c>
      <c r="S22" s="32">
        <v>0.20833333333333334</v>
      </c>
      <c r="T22" s="32">
        <v>0.25</v>
      </c>
      <c r="U22" s="192"/>
      <c r="V22" s="199">
        <f t="shared" ref="V22:V27" si="21">(T22-S22)*24*60</f>
        <v>59.999999999999986</v>
      </c>
      <c r="W22" s="16"/>
      <c r="X22" s="16"/>
      <c r="Y22" s="20"/>
      <c r="Z22" s="20"/>
      <c r="AA22" s="612"/>
      <c r="AB22" s="612"/>
      <c r="AC22" s="18">
        <v>6</v>
      </c>
      <c r="AD22" s="18"/>
      <c r="AE22" s="14">
        <f t="shared" si="8"/>
        <v>-94.999999999999545</v>
      </c>
      <c r="AF22" s="191">
        <f t="shared" si="9"/>
        <v>0.95250000000000024</v>
      </c>
      <c r="AG22" s="616">
        <f>AF28</f>
        <v>0.95569703682755192</v>
      </c>
    </row>
    <row r="23" spans="1:33" ht="15.75" customHeight="1">
      <c r="A23" s="635" t="s">
        <v>280</v>
      </c>
      <c r="B23" s="27" t="s">
        <v>5</v>
      </c>
      <c r="C23" s="659" t="s">
        <v>17</v>
      </c>
      <c r="D23" s="659"/>
      <c r="E23" s="27">
        <v>57.73</v>
      </c>
      <c r="F23" s="200">
        <v>2293</v>
      </c>
      <c r="G23" s="192">
        <f t="shared" si="19"/>
        <v>132374.88999999998</v>
      </c>
      <c r="H23" s="31" t="s">
        <v>40</v>
      </c>
      <c r="I23" s="198">
        <v>14</v>
      </c>
      <c r="J23" s="29">
        <v>2000</v>
      </c>
      <c r="K23" s="12">
        <f t="shared" si="1"/>
        <v>142.85714285714286</v>
      </c>
      <c r="L23" s="198">
        <v>14</v>
      </c>
      <c r="M23" s="13">
        <f t="shared" si="20"/>
        <v>1910.8333333333337</v>
      </c>
      <c r="N23" s="12">
        <f t="shared" si="3"/>
        <v>136.48809523809527</v>
      </c>
      <c r="O23" s="14">
        <f t="shared" si="4"/>
        <v>0</v>
      </c>
      <c r="P23" s="15">
        <f t="shared" si="5"/>
        <v>-6.369047619047592</v>
      </c>
      <c r="Q23" s="191">
        <f t="shared" si="6"/>
        <v>0.9554166666666668</v>
      </c>
      <c r="R23" s="616"/>
      <c r="S23" s="32">
        <v>0.25416666666666665</v>
      </c>
      <c r="T23" s="32">
        <v>0.30416666666666664</v>
      </c>
      <c r="U23" s="192">
        <f t="shared" ref="U23:U27" si="22">IF(S23=TIME(17,0,0),"",(S23-T22)*24*60)</f>
        <v>5.9999999999999787</v>
      </c>
      <c r="V23" s="199">
        <f t="shared" si="21"/>
        <v>71.999999999999986</v>
      </c>
      <c r="W23" s="16"/>
      <c r="X23" s="192"/>
      <c r="Y23" s="192"/>
      <c r="Z23" s="192"/>
      <c r="AA23" s="612"/>
      <c r="AB23" s="612"/>
      <c r="AC23" s="18"/>
      <c r="AD23" s="18"/>
      <c r="AE23" s="14">
        <f t="shared" si="8"/>
        <v>-89.166666666666288</v>
      </c>
      <c r="AF23" s="191">
        <f t="shared" si="9"/>
        <v>0.9554166666666668</v>
      </c>
      <c r="AG23" s="616"/>
    </row>
    <row r="24" spans="1:33" ht="15.75" customHeight="1">
      <c r="A24" s="635" t="s">
        <v>280</v>
      </c>
      <c r="B24" s="27" t="s">
        <v>5</v>
      </c>
      <c r="C24" s="659" t="s">
        <v>60</v>
      </c>
      <c r="D24" s="659"/>
      <c r="E24" s="27">
        <v>53.27</v>
      </c>
      <c r="F24" s="200">
        <v>1634</v>
      </c>
      <c r="G24" s="192">
        <f t="shared" si="19"/>
        <v>87043.180000000008</v>
      </c>
      <c r="H24" s="31" t="s">
        <v>40</v>
      </c>
      <c r="I24" s="198">
        <v>16</v>
      </c>
      <c r="J24" s="29">
        <v>2000</v>
      </c>
      <c r="K24" s="12">
        <f t="shared" si="1"/>
        <v>125</v>
      </c>
      <c r="L24" s="198">
        <v>16</v>
      </c>
      <c r="M24" s="13">
        <f t="shared" si="20"/>
        <v>1922.3529411764714</v>
      </c>
      <c r="N24" s="12">
        <f t="shared" si="3"/>
        <v>120.14705882352946</v>
      </c>
      <c r="O24" s="14">
        <f t="shared" si="4"/>
        <v>0</v>
      </c>
      <c r="P24" s="15">
        <f t="shared" si="5"/>
        <v>-4.8529411764705372</v>
      </c>
      <c r="Q24" s="191">
        <f t="shared" si="6"/>
        <v>0.96117647058823574</v>
      </c>
      <c r="R24" s="616"/>
      <c r="S24" s="32">
        <v>0.30833333333333329</v>
      </c>
      <c r="T24" s="32">
        <v>0.34374999999999994</v>
      </c>
      <c r="U24" s="192">
        <f t="shared" si="22"/>
        <v>5.9999999999999787</v>
      </c>
      <c r="V24" s="199">
        <f t="shared" si="21"/>
        <v>50.999999999999979</v>
      </c>
      <c r="W24" s="16"/>
      <c r="X24" s="192"/>
      <c r="Y24" s="192"/>
      <c r="Z24" s="192"/>
      <c r="AA24" s="612"/>
      <c r="AB24" s="612"/>
      <c r="AC24" s="18"/>
      <c r="AD24" s="18"/>
      <c r="AE24" s="14">
        <f t="shared" si="8"/>
        <v>-77.647058823528596</v>
      </c>
      <c r="AF24" s="191">
        <f t="shared" si="9"/>
        <v>0.96117647058823574</v>
      </c>
      <c r="AG24" s="616"/>
    </row>
    <row r="25" spans="1:33" ht="15.75" customHeight="1">
      <c r="A25" s="635" t="s">
        <v>280</v>
      </c>
      <c r="B25" s="27" t="s">
        <v>5</v>
      </c>
      <c r="C25" s="659" t="s">
        <v>81</v>
      </c>
      <c r="D25" s="659"/>
      <c r="E25" s="27">
        <v>51.44</v>
      </c>
      <c r="F25" s="200">
        <v>2042</v>
      </c>
      <c r="G25" s="192">
        <f t="shared" si="19"/>
        <v>105040.48</v>
      </c>
      <c r="H25" s="31" t="s">
        <v>40</v>
      </c>
      <c r="I25" s="198">
        <v>25</v>
      </c>
      <c r="J25" s="29">
        <v>2000</v>
      </c>
      <c r="K25" s="12">
        <f t="shared" si="1"/>
        <v>80</v>
      </c>
      <c r="L25" s="198">
        <v>25</v>
      </c>
      <c r="M25" s="13">
        <f t="shared" si="20"/>
        <v>1914.3749999999995</v>
      </c>
      <c r="N25" s="12">
        <f t="shared" si="3"/>
        <v>76.574999999999989</v>
      </c>
      <c r="O25" s="14">
        <f t="shared" si="4"/>
        <v>0</v>
      </c>
      <c r="P25" s="15">
        <f t="shared" si="5"/>
        <v>-3.4250000000000114</v>
      </c>
      <c r="Q25" s="191">
        <f t="shared" si="6"/>
        <v>0.95718749999999986</v>
      </c>
      <c r="R25" s="616"/>
      <c r="S25" s="32">
        <v>0.34930555555555548</v>
      </c>
      <c r="T25" s="32">
        <v>0.39374999999999993</v>
      </c>
      <c r="U25" s="192">
        <f t="shared" si="22"/>
        <v>7.9999999999999716</v>
      </c>
      <c r="V25" s="199">
        <f t="shared" si="21"/>
        <v>64.000000000000014</v>
      </c>
      <c r="W25" s="16"/>
      <c r="X25" s="192"/>
      <c r="Y25" s="192"/>
      <c r="Z25" s="192"/>
      <c r="AA25" s="612"/>
      <c r="AB25" s="612"/>
      <c r="AC25" s="18"/>
      <c r="AD25" s="18"/>
      <c r="AE25" s="14">
        <f t="shared" si="8"/>
        <v>-85.625000000000455</v>
      </c>
      <c r="AF25" s="191">
        <f t="shared" si="9"/>
        <v>0.95718749999999975</v>
      </c>
      <c r="AG25" s="616"/>
    </row>
    <row r="26" spans="1:33" ht="15.75" customHeight="1">
      <c r="A26" s="635" t="s">
        <v>280</v>
      </c>
      <c r="B26" s="27" t="s">
        <v>5</v>
      </c>
      <c r="C26" s="659" t="s">
        <v>18</v>
      </c>
      <c r="D26" s="659"/>
      <c r="E26" s="27">
        <v>50.49</v>
      </c>
      <c r="F26" s="200">
        <v>2161</v>
      </c>
      <c r="G26" s="192">
        <f t="shared" si="19"/>
        <v>109108.89</v>
      </c>
      <c r="H26" s="31" t="s">
        <v>40</v>
      </c>
      <c r="I26" s="198">
        <v>15</v>
      </c>
      <c r="J26" s="29">
        <v>2000</v>
      </c>
      <c r="K26" s="12">
        <f t="shared" si="1"/>
        <v>133.33333333333334</v>
      </c>
      <c r="L26" s="198">
        <v>15</v>
      </c>
      <c r="M26" s="13">
        <f t="shared" si="20"/>
        <v>1906.7647058823554</v>
      </c>
      <c r="N26" s="12">
        <f t="shared" si="3"/>
        <v>127.11764705882369</v>
      </c>
      <c r="O26" s="14">
        <f t="shared" si="4"/>
        <v>0</v>
      </c>
      <c r="P26" s="15">
        <f t="shared" si="5"/>
        <v>-6.2156862745096504</v>
      </c>
      <c r="Q26" s="191">
        <f t="shared" si="6"/>
        <v>0.95338235294117768</v>
      </c>
      <c r="R26" s="616"/>
      <c r="S26" s="32">
        <v>0.70833333333333337</v>
      </c>
      <c r="T26" s="32">
        <v>0.75555555555555554</v>
      </c>
      <c r="U26" s="192" t="str">
        <f t="shared" si="22"/>
        <v/>
      </c>
      <c r="V26" s="199">
        <f t="shared" si="21"/>
        <v>67.999999999999915</v>
      </c>
      <c r="W26" s="16"/>
      <c r="X26" s="16"/>
      <c r="Y26" s="192"/>
      <c r="Z26" s="192"/>
      <c r="AA26" s="612"/>
      <c r="AB26" s="612"/>
      <c r="AC26" s="18"/>
      <c r="AD26" s="18"/>
      <c r="AE26" s="14">
        <f t="shared" si="8"/>
        <v>-93.235294117644571</v>
      </c>
      <c r="AF26" s="191">
        <f t="shared" si="9"/>
        <v>0.95338235294117768</v>
      </c>
      <c r="AG26" s="616"/>
    </row>
    <row r="27" spans="1:33" ht="15.75" customHeight="1">
      <c r="A27" s="635" t="s">
        <v>280</v>
      </c>
      <c r="B27" s="27" t="s">
        <v>5</v>
      </c>
      <c r="C27" s="659" t="s">
        <v>62</v>
      </c>
      <c r="D27" s="659"/>
      <c r="E27" s="27">
        <v>51.06</v>
      </c>
      <c r="F27" s="200">
        <v>3309</v>
      </c>
      <c r="G27" s="192">
        <f t="shared" si="19"/>
        <v>168957.54</v>
      </c>
      <c r="H27" s="31" t="s">
        <v>40</v>
      </c>
      <c r="I27" s="198">
        <v>13</v>
      </c>
      <c r="J27" s="29">
        <v>2000</v>
      </c>
      <c r="K27" s="12">
        <f t="shared" si="1"/>
        <v>153.84615384615384</v>
      </c>
      <c r="L27" s="198">
        <v>13</v>
      </c>
      <c r="M27" s="13">
        <f t="shared" si="20"/>
        <v>1909.0384615384626</v>
      </c>
      <c r="N27" s="12">
        <f t="shared" si="3"/>
        <v>146.84911242603559</v>
      </c>
      <c r="O27" s="14">
        <f t="shared" si="4"/>
        <v>0</v>
      </c>
      <c r="P27" s="15">
        <f t="shared" si="5"/>
        <v>-6.9970414201182507</v>
      </c>
      <c r="Q27" s="191">
        <f t="shared" si="6"/>
        <v>0.9545192307692314</v>
      </c>
      <c r="R27" s="616"/>
      <c r="S27" s="32">
        <v>0.76111111111111107</v>
      </c>
      <c r="T27" s="32">
        <v>0.83333333333333326</v>
      </c>
      <c r="U27" s="192">
        <f t="shared" si="22"/>
        <v>7.9999999999999716</v>
      </c>
      <c r="V27" s="199">
        <f t="shared" si="21"/>
        <v>103.99999999999994</v>
      </c>
      <c r="W27" s="16"/>
      <c r="X27" s="20"/>
      <c r="Y27" s="20"/>
      <c r="Z27" s="20"/>
      <c r="AA27" s="612"/>
      <c r="AB27" s="612"/>
      <c r="AC27" s="18"/>
      <c r="AD27" s="18"/>
      <c r="AE27" s="14">
        <f t="shared" si="8"/>
        <v>-90.96153846153743</v>
      </c>
      <c r="AF27" s="191">
        <f t="shared" si="9"/>
        <v>0.95451923076923129</v>
      </c>
      <c r="AG27" s="616"/>
    </row>
    <row r="28" spans="1:33" ht="15.75" customHeight="1">
      <c r="A28" s="635" t="s">
        <v>820</v>
      </c>
      <c r="B28" s="27" t="s">
        <v>174</v>
      </c>
      <c r="C28" s="658"/>
      <c r="D28" s="658"/>
      <c r="E28" s="193"/>
      <c r="F28" s="200"/>
      <c r="G28" s="192"/>
      <c r="H28" s="200"/>
      <c r="I28" s="21">
        <v>16.666666666666668</v>
      </c>
      <c r="J28" s="29">
        <v>2000</v>
      </c>
      <c r="K28" s="12">
        <f t="shared" si="1"/>
        <v>119.99999999999999</v>
      </c>
      <c r="L28" s="21">
        <v>16.666666666666668</v>
      </c>
      <c r="M28" s="13">
        <f>AVERAGE(M22:M27)</f>
        <v>1911.3940736551037</v>
      </c>
      <c r="N28" s="12">
        <f t="shared" si="3"/>
        <v>114.68364441930622</v>
      </c>
      <c r="O28" s="14">
        <f t="shared" si="4"/>
        <v>0</v>
      </c>
      <c r="P28" s="15">
        <f t="shared" si="5"/>
        <v>-5.3163555806937666</v>
      </c>
      <c r="Q28" s="191">
        <f t="shared" si="6"/>
        <v>0.95569703682755192</v>
      </c>
      <c r="R28" s="616"/>
      <c r="S28" s="32"/>
      <c r="T28" s="32"/>
      <c r="U28" s="12"/>
      <c r="V28" s="199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-88.605926344896261</v>
      </c>
      <c r="AF28" s="191">
        <f t="shared" si="9"/>
        <v>0.95569703682755192</v>
      </c>
      <c r="AG28" s="616"/>
    </row>
    <row r="29" spans="1:33" ht="15.75" customHeight="1">
      <c r="A29" s="633" t="s">
        <v>180</v>
      </c>
      <c r="B29" s="27" t="s">
        <v>20</v>
      </c>
      <c r="C29" s="659" t="s">
        <v>21</v>
      </c>
      <c r="D29" s="659"/>
      <c r="E29" s="27">
        <v>31.29</v>
      </c>
      <c r="F29" s="200">
        <v>5300</v>
      </c>
      <c r="G29" s="192">
        <f t="shared" ref="G29:G36" si="23">E29*F29</f>
        <v>165837</v>
      </c>
      <c r="H29" s="31">
        <v>2</v>
      </c>
      <c r="I29" s="198">
        <v>18</v>
      </c>
      <c r="J29" s="29">
        <v>2400</v>
      </c>
      <c r="K29" s="12">
        <f t="shared" si="1"/>
        <v>133.33333333333334</v>
      </c>
      <c r="L29" s="198">
        <v>18</v>
      </c>
      <c r="M29" s="13">
        <f t="shared" ref="M29:M36" si="24">F29/V29*60</f>
        <v>2287.7697841726617</v>
      </c>
      <c r="N29" s="12">
        <f t="shared" si="3"/>
        <v>127.09832134292566</v>
      </c>
      <c r="O29" s="14">
        <f t="shared" si="4"/>
        <v>0</v>
      </c>
      <c r="P29" s="15">
        <f t="shared" si="5"/>
        <v>-6.2350119904076848</v>
      </c>
      <c r="Q29" s="191">
        <f t="shared" si="6"/>
        <v>0.9532374100719424</v>
      </c>
      <c r="R29" s="616">
        <f>Q37</f>
        <v>0.95611801619461112</v>
      </c>
      <c r="S29" s="32">
        <v>8.3333333333333329E-2</v>
      </c>
      <c r="T29" s="32">
        <v>0.17986111111111111</v>
      </c>
      <c r="U29" s="192"/>
      <c r="V29" s="199">
        <f t="shared" ref="V29:V36" si="25">(T29-S29)*24*60</f>
        <v>139</v>
      </c>
      <c r="W29" s="16">
        <f>T29</f>
        <v>0.17986111111111111</v>
      </c>
      <c r="X29" s="16">
        <f>S30</f>
        <v>0.19791666666666666</v>
      </c>
      <c r="Y29" s="16"/>
      <c r="Z29" s="16"/>
      <c r="AA29" s="612"/>
      <c r="AB29" s="612"/>
      <c r="AC29" s="18">
        <v>8</v>
      </c>
      <c r="AD29" s="18"/>
      <c r="AE29" s="14">
        <f t="shared" si="8"/>
        <v>-112.23021582733827</v>
      </c>
      <c r="AF29" s="191">
        <f t="shared" si="9"/>
        <v>0.9532374100719424</v>
      </c>
      <c r="AG29" s="616">
        <f>AF37</f>
        <v>0.95611801619461123</v>
      </c>
    </row>
    <row r="30" spans="1:33" ht="15.75" customHeight="1">
      <c r="A30" s="633" t="s">
        <v>821</v>
      </c>
      <c r="B30" s="27" t="s">
        <v>20</v>
      </c>
      <c r="C30" s="659" t="s">
        <v>22</v>
      </c>
      <c r="D30" s="659"/>
      <c r="E30" s="27">
        <v>26.37</v>
      </c>
      <c r="F30" s="200">
        <v>3900</v>
      </c>
      <c r="G30" s="192">
        <f t="shared" si="23"/>
        <v>102843</v>
      </c>
      <c r="H30" s="31">
        <v>2</v>
      </c>
      <c r="I30" s="198">
        <v>18</v>
      </c>
      <c r="J30" s="29">
        <v>2400</v>
      </c>
      <c r="K30" s="12">
        <f t="shared" si="1"/>
        <v>133.33333333333334</v>
      </c>
      <c r="L30" s="198">
        <v>18</v>
      </c>
      <c r="M30" s="13">
        <f t="shared" si="24"/>
        <v>2294.1176470588234</v>
      </c>
      <c r="N30" s="12">
        <f t="shared" si="3"/>
        <v>127.45098039215685</v>
      </c>
      <c r="O30" s="14">
        <f t="shared" si="4"/>
        <v>0</v>
      </c>
      <c r="P30" s="15">
        <f t="shared" si="5"/>
        <v>-5.8823529411764923</v>
      </c>
      <c r="Q30" s="191">
        <f t="shared" si="6"/>
        <v>0.95588235294117629</v>
      </c>
      <c r="R30" s="616"/>
      <c r="S30" s="32">
        <v>0.19791666666666666</v>
      </c>
      <c r="T30" s="32">
        <v>0.26874999999999999</v>
      </c>
      <c r="U30" s="192">
        <f t="shared" ref="U30:U36" si="26">(S30-T29)*24*60</f>
        <v>25.999999999999986</v>
      </c>
      <c r="V30" s="199">
        <f t="shared" si="25"/>
        <v>102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-105.88235294117658</v>
      </c>
      <c r="AF30" s="191">
        <f t="shared" si="9"/>
        <v>0.95588235294117641</v>
      </c>
      <c r="AG30" s="616"/>
    </row>
    <row r="31" spans="1:33" ht="15.75" customHeight="1">
      <c r="A31" s="633" t="s">
        <v>821</v>
      </c>
      <c r="B31" s="27" t="s">
        <v>20</v>
      </c>
      <c r="C31" s="659" t="s">
        <v>57</v>
      </c>
      <c r="D31" s="659"/>
      <c r="E31" s="27">
        <v>26.18</v>
      </c>
      <c r="F31" s="200">
        <v>4500</v>
      </c>
      <c r="G31" s="192">
        <f t="shared" si="23"/>
        <v>117810</v>
      </c>
      <c r="H31" s="31">
        <v>2</v>
      </c>
      <c r="I31" s="198">
        <v>18</v>
      </c>
      <c r="J31" s="29">
        <v>2400</v>
      </c>
      <c r="K31" s="12">
        <f t="shared" si="1"/>
        <v>133.33333333333334</v>
      </c>
      <c r="L31" s="198">
        <v>18</v>
      </c>
      <c r="M31" s="13">
        <f t="shared" si="24"/>
        <v>2288.1355932203396</v>
      </c>
      <c r="N31" s="12">
        <f t="shared" si="3"/>
        <v>127.11864406779665</v>
      </c>
      <c r="O31" s="14">
        <f t="shared" si="4"/>
        <v>0</v>
      </c>
      <c r="P31" s="15">
        <f t="shared" si="5"/>
        <v>-6.2146892655366912</v>
      </c>
      <c r="Q31" s="191">
        <f t="shared" si="6"/>
        <v>0.95338983050847481</v>
      </c>
      <c r="R31" s="616"/>
      <c r="S31" s="32">
        <v>0.27430555555555552</v>
      </c>
      <c r="T31" s="32">
        <v>0.35624999999999996</v>
      </c>
      <c r="U31" s="192">
        <f t="shared" si="26"/>
        <v>7.9999999999999716</v>
      </c>
      <c r="V31" s="199">
        <f t="shared" si="25"/>
        <v>117.99999999999999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-111.86440677966038</v>
      </c>
      <c r="AF31" s="191">
        <f t="shared" si="9"/>
        <v>0.95338983050847481</v>
      </c>
      <c r="AG31" s="616"/>
    </row>
    <row r="32" spans="1:33" ht="15.75" customHeight="1">
      <c r="A32" s="633" t="s">
        <v>821</v>
      </c>
      <c r="B32" s="27" t="s">
        <v>20</v>
      </c>
      <c r="C32" s="659" t="s">
        <v>64</v>
      </c>
      <c r="D32" s="659"/>
      <c r="E32" s="27">
        <v>20.21</v>
      </c>
      <c r="F32" s="200">
        <v>2995</v>
      </c>
      <c r="G32" s="192">
        <f t="shared" si="23"/>
        <v>60528.950000000004</v>
      </c>
      <c r="H32" s="31" t="s">
        <v>40</v>
      </c>
      <c r="I32" s="198">
        <v>18</v>
      </c>
      <c r="J32" s="29">
        <v>2400</v>
      </c>
      <c r="K32" s="12">
        <f t="shared" si="1"/>
        <v>133.33333333333334</v>
      </c>
      <c r="L32" s="198">
        <v>18</v>
      </c>
      <c r="M32" s="13">
        <f t="shared" si="24"/>
        <v>2303.8461538461524</v>
      </c>
      <c r="N32" s="12">
        <f t="shared" si="3"/>
        <v>127.99145299145292</v>
      </c>
      <c r="O32" s="14">
        <f t="shared" si="4"/>
        <v>0</v>
      </c>
      <c r="P32" s="15">
        <f t="shared" si="5"/>
        <v>-5.3418803418804259</v>
      </c>
      <c r="Q32" s="191">
        <f t="shared" si="6"/>
        <v>0.9599358974358968</v>
      </c>
      <c r="R32" s="616"/>
      <c r="S32" s="32">
        <v>0.35972222222222217</v>
      </c>
      <c r="T32" s="32">
        <v>0.41388888888888886</v>
      </c>
      <c r="U32" s="192">
        <f t="shared" si="26"/>
        <v>4.9999999999999822</v>
      </c>
      <c r="V32" s="199">
        <f t="shared" si="25"/>
        <v>78.000000000000043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-96.153846153847553</v>
      </c>
      <c r="AF32" s="191">
        <f t="shared" si="9"/>
        <v>0.9599358974358968</v>
      </c>
      <c r="AG32" s="616"/>
    </row>
    <row r="33" spans="1:33" ht="15.75" customHeight="1">
      <c r="A33" s="633" t="s">
        <v>821</v>
      </c>
      <c r="B33" s="27" t="s">
        <v>20</v>
      </c>
      <c r="C33" s="659" t="s">
        <v>23</v>
      </c>
      <c r="D33" s="659"/>
      <c r="E33" s="27">
        <v>25.99</v>
      </c>
      <c r="F33" s="200">
        <v>4092</v>
      </c>
      <c r="G33" s="192">
        <f t="shared" si="23"/>
        <v>106351.07999999999</v>
      </c>
      <c r="H33" s="31" t="s">
        <v>40</v>
      </c>
      <c r="I33" s="198">
        <v>14</v>
      </c>
      <c r="J33" s="29">
        <v>2400</v>
      </c>
      <c r="K33" s="12">
        <f t="shared" si="1"/>
        <v>171.42857142857142</v>
      </c>
      <c r="L33" s="198">
        <v>14</v>
      </c>
      <c r="M33" s="13">
        <f t="shared" si="24"/>
        <v>2294.5794392523358</v>
      </c>
      <c r="N33" s="12">
        <f t="shared" si="3"/>
        <v>163.89853137516684</v>
      </c>
      <c r="O33" s="14">
        <f t="shared" si="4"/>
        <v>0</v>
      </c>
      <c r="P33" s="15">
        <f t="shared" si="5"/>
        <v>-7.5300400534045764</v>
      </c>
      <c r="Q33" s="191">
        <f t="shared" si="6"/>
        <v>0.95607476635513999</v>
      </c>
      <c r="R33" s="616"/>
      <c r="S33" s="32">
        <v>0.4194444444444444</v>
      </c>
      <c r="T33" s="32">
        <v>0.49374999999999997</v>
      </c>
      <c r="U33" s="192">
        <f t="shared" si="26"/>
        <v>7.9999999999999716</v>
      </c>
      <c r="V33" s="199">
        <f t="shared" si="25"/>
        <v>107.00000000000001</v>
      </c>
      <c r="W33" s="16">
        <f>T33</f>
        <v>0.49374999999999997</v>
      </c>
      <c r="X33" s="16">
        <f>S34</f>
        <v>0.53333333333333333</v>
      </c>
      <c r="Y33" s="16"/>
      <c r="Z33" s="16"/>
      <c r="AA33" s="612"/>
      <c r="AB33" s="612"/>
      <c r="AC33" s="18"/>
      <c r="AD33" s="18"/>
      <c r="AE33" s="14">
        <f t="shared" si="8"/>
        <v>-105.42056074766424</v>
      </c>
      <c r="AF33" s="191">
        <f t="shared" si="9"/>
        <v>0.95607476635513988</v>
      </c>
      <c r="AG33" s="616"/>
    </row>
    <row r="34" spans="1:33" ht="15.75" customHeight="1">
      <c r="A34" s="633" t="s">
        <v>821</v>
      </c>
      <c r="B34" s="27" t="s">
        <v>20</v>
      </c>
      <c r="C34" s="659" t="s">
        <v>21</v>
      </c>
      <c r="D34" s="659"/>
      <c r="E34" s="27">
        <v>31.29</v>
      </c>
      <c r="F34" s="200">
        <v>3945</v>
      </c>
      <c r="G34" s="192">
        <f t="shared" si="23"/>
        <v>123439.05</v>
      </c>
      <c r="H34" s="31" t="s">
        <v>40</v>
      </c>
      <c r="I34" s="198">
        <v>18</v>
      </c>
      <c r="J34" s="29">
        <v>2400</v>
      </c>
      <c r="K34" s="12">
        <f t="shared" si="1"/>
        <v>133.33333333333334</v>
      </c>
      <c r="L34" s="198">
        <v>18</v>
      </c>
      <c r="M34" s="13">
        <f t="shared" si="24"/>
        <v>2298.0582524271854</v>
      </c>
      <c r="N34" s="12">
        <f t="shared" si="3"/>
        <v>127.66990291262141</v>
      </c>
      <c r="O34" s="14">
        <f t="shared" si="4"/>
        <v>0</v>
      </c>
      <c r="P34" s="15">
        <f t="shared" si="5"/>
        <v>-5.6634304207119328</v>
      </c>
      <c r="Q34" s="191">
        <f t="shared" si="6"/>
        <v>0.95752427184466049</v>
      </c>
      <c r="R34" s="616"/>
      <c r="S34" s="32">
        <v>0.53333333333333333</v>
      </c>
      <c r="T34" s="32">
        <v>0.60486111111111107</v>
      </c>
      <c r="U34" s="192">
        <f t="shared" si="26"/>
        <v>57.000000000000036</v>
      </c>
      <c r="V34" s="199">
        <f t="shared" si="25"/>
        <v>102.99999999999996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-101.94174757281462</v>
      </c>
      <c r="AF34" s="191">
        <f t="shared" si="9"/>
        <v>0.9575242718446606</v>
      </c>
      <c r="AG34" s="616"/>
    </row>
    <row r="35" spans="1:33" ht="15.75" customHeight="1">
      <c r="A35" s="633" t="s">
        <v>821</v>
      </c>
      <c r="B35" s="27" t="s">
        <v>20</v>
      </c>
      <c r="C35" s="659" t="s">
        <v>22</v>
      </c>
      <c r="D35" s="659"/>
      <c r="E35" s="27">
        <v>26.37</v>
      </c>
      <c r="F35" s="200">
        <v>2529</v>
      </c>
      <c r="G35" s="192">
        <f t="shared" si="23"/>
        <v>66689.73</v>
      </c>
      <c r="H35" s="31" t="s">
        <v>40</v>
      </c>
      <c r="I35" s="198">
        <v>18</v>
      </c>
      <c r="J35" s="29">
        <v>2400</v>
      </c>
      <c r="K35" s="12">
        <f t="shared" si="1"/>
        <v>133.33333333333334</v>
      </c>
      <c r="L35" s="198">
        <v>18</v>
      </c>
      <c r="M35" s="13">
        <f t="shared" si="24"/>
        <v>2299.0909090909063</v>
      </c>
      <c r="N35" s="12">
        <f t="shared" si="3"/>
        <v>127.72727272727258</v>
      </c>
      <c r="O35" s="14">
        <f t="shared" si="4"/>
        <v>0</v>
      </c>
      <c r="P35" s="15">
        <f t="shared" si="5"/>
        <v>-5.6060606060607654</v>
      </c>
      <c r="Q35" s="191">
        <f t="shared" si="6"/>
        <v>0.95795454545454428</v>
      </c>
      <c r="R35" s="616"/>
      <c r="S35" s="32">
        <v>0.61041666666666661</v>
      </c>
      <c r="T35" s="32">
        <v>0.65625</v>
      </c>
      <c r="U35" s="192">
        <f t="shared" si="26"/>
        <v>7.9999999999999716</v>
      </c>
      <c r="V35" s="199">
        <f t="shared" si="25"/>
        <v>66.000000000000085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-100.90909090909372</v>
      </c>
      <c r="AF35" s="191">
        <f t="shared" si="9"/>
        <v>0.95795454545454428</v>
      </c>
      <c r="AG35" s="616"/>
    </row>
    <row r="36" spans="1:33" ht="15.75" customHeight="1">
      <c r="A36" s="633" t="s">
        <v>180</v>
      </c>
      <c r="B36" s="27" t="s">
        <v>20</v>
      </c>
      <c r="C36" s="106" t="s">
        <v>57</v>
      </c>
      <c r="D36" s="107"/>
      <c r="E36" s="27">
        <v>26.18</v>
      </c>
      <c r="F36" s="200">
        <v>3476</v>
      </c>
      <c r="G36" s="192">
        <f t="shared" si="23"/>
        <v>91001.68</v>
      </c>
      <c r="H36" s="31" t="s">
        <v>40</v>
      </c>
      <c r="I36" s="198">
        <v>18</v>
      </c>
      <c r="J36" s="29">
        <v>2400</v>
      </c>
      <c r="K36" s="12">
        <f t="shared" si="1"/>
        <v>133.33333333333334</v>
      </c>
      <c r="L36" s="198">
        <v>18</v>
      </c>
      <c r="M36" s="13">
        <f t="shared" si="24"/>
        <v>2291.868131868132</v>
      </c>
      <c r="N36" s="12">
        <f t="shared" si="3"/>
        <v>127.32600732600733</v>
      </c>
      <c r="O36" s="14">
        <f t="shared" si="4"/>
        <v>0</v>
      </c>
      <c r="P36" s="15">
        <f t="shared" si="5"/>
        <v>-6.0073260073260144</v>
      </c>
      <c r="Q36" s="191">
        <f t="shared" si="6"/>
        <v>0.95494505494505488</v>
      </c>
      <c r="R36" s="616"/>
      <c r="S36" s="32">
        <v>0.66041666666666665</v>
      </c>
      <c r="T36" s="32">
        <v>0.72361111111111109</v>
      </c>
      <c r="U36" s="192">
        <f t="shared" si="26"/>
        <v>5.9999999999999787</v>
      </c>
      <c r="V36" s="199">
        <f t="shared" si="25"/>
        <v>91</v>
      </c>
      <c r="W36" s="16"/>
      <c r="X36" s="16"/>
      <c r="Y36" s="16"/>
      <c r="Z36" s="16"/>
      <c r="AA36" s="196"/>
      <c r="AB36" s="197"/>
      <c r="AC36" s="18"/>
      <c r="AD36" s="18"/>
      <c r="AE36" s="14">
        <f t="shared" si="8"/>
        <v>-108.13186813186803</v>
      </c>
      <c r="AF36" s="191">
        <f t="shared" si="9"/>
        <v>0.95494505494505499</v>
      </c>
      <c r="AG36" s="616"/>
    </row>
    <row r="37" spans="1:33" ht="15.75" customHeight="1">
      <c r="A37" s="633" t="s">
        <v>821</v>
      </c>
      <c r="B37" s="27" t="s">
        <v>812</v>
      </c>
      <c r="C37" s="658"/>
      <c r="D37" s="658"/>
      <c r="E37" s="193"/>
      <c r="F37" s="200"/>
      <c r="G37" s="192"/>
      <c r="H37" s="200"/>
      <c r="I37" s="21">
        <v>17.5</v>
      </c>
      <c r="J37" s="29">
        <v>2400</v>
      </c>
      <c r="K37" s="12">
        <f t="shared" si="1"/>
        <v>137.14285714285714</v>
      </c>
      <c r="L37" s="21">
        <v>17.5</v>
      </c>
      <c r="M37" s="13">
        <f>AVERAGE(M29:M36)</f>
        <v>2294.6832388670668</v>
      </c>
      <c r="N37" s="12">
        <f t="shared" si="3"/>
        <v>131.12475650668952</v>
      </c>
      <c r="O37" s="14">
        <f t="shared" si="4"/>
        <v>0</v>
      </c>
      <c r="P37" s="15">
        <f t="shared" si="5"/>
        <v>-6.0181006361676168</v>
      </c>
      <c r="Q37" s="191">
        <f t="shared" si="6"/>
        <v>0.95611801619461112</v>
      </c>
      <c r="R37" s="616"/>
      <c r="S37" s="32"/>
      <c r="T37" s="32"/>
      <c r="U37" s="192"/>
      <c r="V37" s="199"/>
      <c r="W37" s="192"/>
      <c r="X37" s="192"/>
      <c r="Y37" s="22">
        <f>SUM(Y29:Y36)</f>
        <v>0</v>
      </c>
      <c r="Z37" s="22">
        <f>SUM(Z29:Z36)</f>
        <v>0</v>
      </c>
      <c r="AA37" s="611"/>
      <c r="AB37" s="611"/>
      <c r="AC37" s="22">
        <v>8</v>
      </c>
      <c r="AD37" s="22">
        <f>SUM(AD29:AD36)</f>
        <v>0</v>
      </c>
      <c r="AE37" s="14">
        <f t="shared" si="8"/>
        <v>-105.31676113293315</v>
      </c>
      <c r="AF37" s="191">
        <f t="shared" si="9"/>
        <v>0.95611801619461123</v>
      </c>
      <c r="AG37" s="616"/>
    </row>
    <row r="38" spans="1:33" ht="15.75" customHeight="1">
      <c r="A38" s="629" t="s">
        <v>181</v>
      </c>
      <c r="B38" s="27" t="s">
        <v>20</v>
      </c>
      <c r="C38" s="660" t="s">
        <v>58</v>
      </c>
      <c r="D38" s="660"/>
      <c r="E38" s="27">
        <v>26.18</v>
      </c>
      <c r="F38" s="200">
        <v>6229</v>
      </c>
      <c r="G38" s="192">
        <f t="shared" ref="G38:G44" si="27">E38*F38</f>
        <v>163075.22</v>
      </c>
      <c r="H38" s="31" t="s">
        <v>40</v>
      </c>
      <c r="I38" s="198">
        <v>20</v>
      </c>
      <c r="J38" s="29">
        <v>2400</v>
      </c>
      <c r="K38" s="12">
        <f t="shared" si="1"/>
        <v>120</v>
      </c>
      <c r="L38" s="198">
        <v>20</v>
      </c>
      <c r="M38" s="13">
        <f t="shared" ref="M38:M44" si="28">F38/V38*60</f>
        <v>2292.8834355828221</v>
      </c>
      <c r="N38" s="12">
        <f t="shared" si="3"/>
        <v>114.6441717791411</v>
      </c>
      <c r="O38" s="14">
        <f t="shared" si="4"/>
        <v>0</v>
      </c>
      <c r="P38" s="15">
        <f t="shared" si="5"/>
        <v>-5.3558282208588963</v>
      </c>
      <c r="Q38" s="191">
        <f t="shared" si="6"/>
        <v>0.95536809815950918</v>
      </c>
      <c r="R38" s="616">
        <f>Q45</f>
        <v>0.9575404301841044</v>
      </c>
      <c r="S38" s="32">
        <v>8.3333333333333329E-2</v>
      </c>
      <c r="T38" s="32">
        <v>0.19652777777777777</v>
      </c>
      <c r="U38" s="192"/>
      <c r="V38" s="199">
        <f t="shared" ref="V38:V44" si="29">(T38-S38)*24*60</f>
        <v>163</v>
      </c>
      <c r="W38" s="20">
        <f>T38</f>
        <v>0.19652777777777777</v>
      </c>
      <c r="X38" s="20">
        <f>S39</f>
        <v>0.21527777777777776</v>
      </c>
      <c r="Y38" s="20"/>
      <c r="Z38" s="20"/>
      <c r="AA38" s="612"/>
      <c r="AB38" s="612"/>
      <c r="AC38" s="18">
        <v>7</v>
      </c>
      <c r="AD38" s="18"/>
      <c r="AE38" s="14">
        <f t="shared" si="8"/>
        <v>-107.11656441717787</v>
      </c>
      <c r="AF38" s="191">
        <f t="shared" si="9"/>
        <v>0.95536809815950918</v>
      </c>
      <c r="AG38" s="616">
        <f>AF45</f>
        <v>0.95754043018410429</v>
      </c>
    </row>
    <row r="39" spans="1:33" ht="15.75" customHeight="1">
      <c r="A39" s="629" t="s">
        <v>822</v>
      </c>
      <c r="B39" s="27" t="s">
        <v>20</v>
      </c>
      <c r="C39" s="660" t="s">
        <v>25</v>
      </c>
      <c r="D39" s="660"/>
      <c r="E39" s="27">
        <v>24.43</v>
      </c>
      <c r="F39" s="200">
        <v>3800</v>
      </c>
      <c r="G39" s="192">
        <f t="shared" si="27"/>
        <v>92834</v>
      </c>
      <c r="H39" s="31">
        <v>2</v>
      </c>
      <c r="I39" s="198">
        <v>14</v>
      </c>
      <c r="J39" s="29">
        <v>2400</v>
      </c>
      <c r="K39" s="12">
        <f t="shared" si="1"/>
        <v>171.42857142857142</v>
      </c>
      <c r="L39" s="198">
        <v>14</v>
      </c>
      <c r="M39" s="13">
        <f t="shared" si="28"/>
        <v>2303.030303030303</v>
      </c>
      <c r="N39" s="12">
        <f t="shared" si="3"/>
        <v>164.5021645021645</v>
      </c>
      <c r="O39" s="14">
        <f t="shared" si="4"/>
        <v>0</v>
      </c>
      <c r="P39" s="15">
        <f t="shared" si="5"/>
        <v>-6.9264069264069121</v>
      </c>
      <c r="Q39" s="191">
        <f t="shared" si="6"/>
        <v>0.95959595959595967</v>
      </c>
      <c r="R39" s="616"/>
      <c r="S39" s="32">
        <v>0.21527777777777776</v>
      </c>
      <c r="T39" s="32">
        <v>0.28402777777777777</v>
      </c>
      <c r="U39" s="192">
        <f t="shared" ref="U39:U44" si="30">(S39-T38)*24*60</f>
        <v>26.999999999999986</v>
      </c>
      <c r="V39" s="199">
        <f t="shared" si="29"/>
        <v>99.000000000000014</v>
      </c>
      <c r="W39" s="192"/>
      <c r="X39" s="192"/>
      <c r="Y39" s="192"/>
      <c r="Z39" s="192"/>
      <c r="AA39" s="612"/>
      <c r="AB39" s="612"/>
      <c r="AC39" s="18"/>
      <c r="AD39" s="18"/>
      <c r="AE39" s="14">
        <f t="shared" si="8"/>
        <v>-96.969696969696997</v>
      </c>
      <c r="AF39" s="191">
        <f t="shared" si="9"/>
        <v>0.95959595959595956</v>
      </c>
      <c r="AG39" s="616"/>
    </row>
    <row r="40" spans="1:33">
      <c r="A40" s="630" t="s">
        <v>823</v>
      </c>
      <c r="B40" s="27" t="s">
        <v>20</v>
      </c>
      <c r="C40" s="660" t="s">
        <v>83</v>
      </c>
      <c r="D40" s="660"/>
      <c r="E40" s="27">
        <v>25.98</v>
      </c>
      <c r="F40" s="200">
        <v>4877</v>
      </c>
      <c r="G40" s="192">
        <f t="shared" si="27"/>
        <v>126704.46</v>
      </c>
      <c r="H40" s="31" t="s">
        <v>40</v>
      </c>
      <c r="I40" s="198">
        <v>20</v>
      </c>
      <c r="J40" s="29">
        <v>2400</v>
      </c>
      <c r="K40" s="12">
        <f t="shared" si="1"/>
        <v>120</v>
      </c>
      <c r="L40" s="198">
        <v>20</v>
      </c>
      <c r="M40" s="13">
        <f t="shared" si="28"/>
        <v>2286.0937499999995</v>
      </c>
      <c r="N40" s="12">
        <f t="shared" si="3"/>
        <v>114.30468749999997</v>
      </c>
      <c r="O40" s="14">
        <f t="shared" si="4"/>
        <v>0</v>
      </c>
      <c r="P40" s="15">
        <f t="shared" si="5"/>
        <v>-5.6953125000000284</v>
      </c>
      <c r="Q40" s="191">
        <f t="shared" si="6"/>
        <v>0.95253906249999976</v>
      </c>
      <c r="R40" s="616"/>
      <c r="S40" s="32">
        <v>0.28749999999999998</v>
      </c>
      <c r="T40" s="32">
        <v>0.37638888888888888</v>
      </c>
      <c r="U40" s="192">
        <f t="shared" si="30"/>
        <v>4.9999999999999822</v>
      </c>
      <c r="V40" s="199">
        <f t="shared" si="29"/>
        <v>128.00000000000003</v>
      </c>
      <c r="W40" s="192"/>
      <c r="X40" s="192"/>
      <c r="Y40" s="192"/>
      <c r="Z40" s="192"/>
      <c r="AA40" s="612"/>
      <c r="AB40" s="612"/>
      <c r="AC40" s="18"/>
      <c r="AD40" s="18"/>
      <c r="AE40" s="14">
        <f t="shared" si="8"/>
        <v>-113.90625000000045</v>
      </c>
      <c r="AF40" s="191">
        <f t="shared" si="9"/>
        <v>0.95253906249999976</v>
      </c>
      <c r="AG40" s="616"/>
    </row>
    <row r="41" spans="1:33">
      <c r="A41" s="630" t="s">
        <v>181</v>
      </c>
      <c r="B41" s="27" t="s">
        <v>20</v>
      </c>
      <c r="C41" s="660" t="s">
        <v>26</v>
      </c>
      <c r="D41" s="660"/>
      <c r="E41" s="27">
        <v>34.1</v>
      </c>
      <c r="F41" s="200">
        <v>3600</v>
      </c>
      <c r="G41" s="192">
        <f t="shared" si="27"/>
        <v>122760</v>
      </c>
      <c r="H41" s="31">
        <v>2</v>
      </c>
      <c r="I41" s="198">
        <v>17</v>
      </c>
      <c r="J41" s="29">
        <v>1600</v>
      </c>
      <c r="K41" s="12">
        <f t="shared" si="1"/>
        <v>94.117647058823536</v>
      </c>
      <c r="L41" s="198">
        <v>17</v>
      </c>
      <c r="M41" s="13">
        <f t="shared" si="28"/>
        <v>1521.1267605633807</v>
      </c>
      <c r="N41" s="12">
        <f t="shared" si="3"/>
        <v>89.478044739022394</v>
      </c>
      <c r="O41" s="14">
        <f t="shared" si="4"/>
        <v>0</v>
      </c>
      <c r="P41" s="15">
        <f t="shared" si="5"/>
        <v>-4.639602319801142</v>
      </c>
      <c r="Q41" s="191">
        <f t="shared" si="6"/>
        <v>0.95070422535211285</v>
      </c>
      <c r="R41" s="616"/>
      <c r="S41" s="32">
        <v>0.38055555555555554</v>
      </c>
      <c r="T41" s="32">
        <v>0.47916666666666663</v>
      </c>
      <c r="U41" s="192">
        <f t="shared" si="30"/>
        <v>5.9999999999999787</v>
      </c>
      <c r="V41" s="199">
        <f t="shared" si="29"/>
        <v>141.99999999999997</v>
      </c>
      <c r="W41" s="16"/>
      <c r="X41" s="16"/>
      <c r="Y41" s="16"/>
      <c r="Z41" s="16"/>
      <c r="AA41" s="612"/>
      <c r="AB41" s="612"/>
      <c r="AC41" s="18"/>
      <c r="AD41" s="18"/>
      <c r="AE41" s="14">
        <f t="shared" si="8"/>
        <v>-78.873239436619315</v>
      </c>
      <c r="AF41" s="191">
        <f t="shared" si="9"/>
        <v>0.95070422535211296</v>
      </c>
      <c r="AG41" s="616"/>
    </row>
    <row r="42" spans="1:33">
      <c r="A42" s="630" t="s">
        <v>822</v>
      </c>
      <c r="B42" s="27" t="s">
        <v>20</v>
      </c>
      <c r="C42" s="660" t="s">
        <v>59</v>
      </c>
      <c r="D42" s="660"/>
      <c r="E42" s="27">
        <v>25.99</v>
      </c>
      <c r="F42" s="200">
        <v>1621</v>
      </c>
      <c r="G42" s="192">
        <f t="shared" si="27"/>
        <v>42129.79</v>
      </c>
      <c r="H42" s="31" t="s">
        <v>40</v>
      </c>
      <c r="I42" s="198">
        <v>18</v>
      </c>
      <c r="J42" s="29">
        <v>2400</v>
      </c>
      <c r="K42" s="12">
        <f t="shared" si="1"/>
        <v>133.33333333333334</v>
      </c>
      <c r="L42" s="198">
        <v>18</v>
      </c>
      <c r="M42" s="13">
        <f t="shared" si="28"/>
        <v>2315.7142857142849</v>
      </c>
      <c r="N42" s="12">
        <f t="shared" si="3"/>
        <v>128.65079365079362</v>
      </c>
      <c r="O42" s="14">
        <f t="shared" si="4"/>
        <v>0</v>
      </c>
      <c r="P42" s="15">
        <f t="shared" si="5"/>
        <v>-4.6825396825397263</v>
      </c>
      <c r="Q42" s="191">
        <f t="shared" si="6"/>
        <v>0.96488095238095206</v>
      </c>
      <c r="R42" s="616"/>
      <c r="S42" s="32">
        <v>0.48402777777777772</v>
      </c>
      <c r="T42" s="32">
        <v>0.5131944444444444</v>
      </c>
      <c r="U42" s="192">
        <f t="shared" si="30"/>
        <v>6.9999999999999751</v>
      </c>
      <c r="V42" s="199">
        <f t="shared" si="29"/>
        <v>42.000000000000014</v>
      </c>
      <c r="W42" s="16">
        <f>T42</f>
        <v>0.5131944444444444</v>
      </c>
      <c r="X42" s="16">
        <f>S43</f>
        <v>0.55486111111111103</v>
      </c>
      <c r="Y42" s="16"/>
      <c r="Z42" s="16"/>
      <c r="AA42" s="612"/>
      <c r="AB42" s="612"/>
      <c r="AC42" s="18"/>
      <c r="AD42" s="18"/>
      <c r="AE42" s="14">
        <f t="shared" si="8"/>
        <v>-84.28571428571513</v>
      </c>
      <c r="AF42" s="191">
        <f t="shared" si="9"/>
        <v>0.96488095238095206</v>
      </c>
      <c r="AG42" s="616"/>
    </row>
    <row r="43" spans="1:33">
      <c r="A43" s="630" t="s">
        <v>823</v>
      </c>
      <c r="B43" s="27" t="s">
        <v>20</v>
      </c>
      <c r="C43" s="660" t="s">
        <v>25</v>
      </c>
      <c r="D43" s="660"/>
      <c r="E43" s="27">
        <v>24.43</v>
      </c>
      <c r="F43" s="200">
        <v>2956</v>
      </c>
      <c r="G43" s="192">
        <f t="shared" si="27"/>
        <v>72215.08</v>
      </c>
      <c r="H43" s="31" t="s">
        <v>40</v>
      </c>
      <c r="I43" s="198">
        <v>14</v>
      </c>
      <c r="J43" s="29">
        <v>2400</v>
      </c>
      <c r="K43" s="12">
        <f t="shared" si="1"/>
        <v>171.42857142857142</v>
      </c>
      <c r="L43" s="198">
        <v>14</v>
      </c>
      <c r="M43" s="13">
        <f t="shared" si="28"/>
        <v>2303.3766233766219</v>
      </c>
      <c r="N43" s="12">
        <f t="shared" si="3"/>
        <v>164.5269016697587</v>
      </c>
      <c r="O43" s="14">
        <f t="shared" si="4"/>
        <v>0</v>
      </c>
      <c r="P43" s="15">
        <f t="shared" si="5"/>
        <v>-6.9016697588127158</v>
      </c>
      <c r="Q43" s="191">
        <f t="shared" si="6"/>
        <v>0.95974025974025912</v>
      </c>
      <c r="R43" s="616"/>
      <c r="S43" s="32">
        <v>0.55486111111111103</v>
      </c>
      <c r="T43" s="32">
        <v>0.60833333333333328</v>
      </c>
      <c r="U43" s="192">
        <f t="shared" si="30"/>
        <v>59.999999999999943</v>
      </c>
      <c r="V43" s="199">
        <f t="shared" si="29"/>
        <v>77.000000000000043</v>
      </c>
      <c r="W43" s="16"/>
      <c r="X43" s="16"/>
      <c r="Y43" s="16"/>
      <c r="Z43" s="16"/>
      <c r="AA43" s="612"/>
      <c r="AB43" s="612"/>
      <c r="AC43" s="18"/>
      <c r="AD43" s="18"/>
      <c r="AE43" s="14">
        <f t="shared" si="8"/>
        <v>-96.623376623378135</v>
      </c>
      <c r="AF43" s="191">
        <f t="shared" si="9"/>
        <v>0.95974025974025912</v>
      </c>
      <c r="AG43" s="616"/>
    </row>
    <row r="44" spans="1:33">
      <c r="A44" s="630" t="s">
        <v>823</v>
      </c>
      <c r="B44" s="27" t="s">
        <v>20</v>
      </c>
      <c r="C44" s="660" t="s">
        <v>26</v>
      </c>
      <c r="D44" s="660"/>
      <c r="E44" s="27">
        <v>34.1</v>
      </c>
      <c r="F44" s="200">
        <v>2886</v>
      </c>
      <c r="G44" s="192">
        <f t="shared" si="27"/>
        <v>98412.6</v>
      </c>
      <c r="H44" s="31" t="s">
        <v>40</v>
      </c>
      <c r="I44" s="198">
        <v>17</v>
      </c>
      <c r="J44" s="29">
        <v>1600</v>
      </c>
      <c r="K44" s="12">
        <f t="shared" si="1"/>
        <v>94.117647058823536</v>
      </c>
      <c r="L44" s="198">
        <v>17</v>
      </c>
      <c r="M44" s="13">
        <f t="shared" si="28"/>
        <v>1532.3893805309747</v>
      </c>
      <c r="N44" s="12">
        <f t="shared" si="3"/>
        <v>90.140551795939686</v>
      </c>
      <c r="O44" s="14">
        <f t="shared" si="4"/>
        <v>0</v>
      </c>
      <c r="P44" s="15">
        <f t="shared" si="5"/>
        <v>-3.9770952628838501</v>
      </c>
      <c r="Q44" s="191">
        <f t="shared" si="6"/>
        <v>0.95774336283185912</v>
      </c>
      <c r="R44" s="616"/>
      <c r="S44" s="32">
        <v>0.61249999999999993</v>
      </c>
      <c r="T44" s="32">
        <v>0.6909722222222221</v>
      </c>
      <c r="U44" s="192">
        <f t="shared" si="30"/>
        <v>5.9999999999999787</v>
      </c>
      <c r="V44" s="199">
        <f t="shared" si="29"/>
        <v>112.99999999999991</v>
      </c>
      <c r="W44" s="16"/>
      <c r="X44" s="16"/>
      <c r="Y44" s="19"/>
      <c r="Z44" s="19"/>
      <c r="AA44" s="607"/>
      <c r="AB44" s="608"/>
      <c r="AC44" s="18"/>
      <c r="AD44" s="18"/>
      <c r="AE44" s="14">
        <f t="shared" si="8"/>
        <v>-67.610619469025323</v>
      </c>
      <c r="AF44" s="191">
        <f t="shared" si="9"/>
        <v>0.95774336283185912</v>
      </c>
      <c r="AG44" s="616"/>
    </row>
    <row r="45" spans="1:33">
      <c r="A45" s="630" t="s">
        <v>822</v>
      </c>
      <c r="B45" s="28" t="s">
        <v>816</v>
      </c>
      <c r="C45" s="658"/>
      <c r="D45" s="658"/>
      <c r="E45" s="193"/>
      <c r="F45" s="28"/>
      <c r="G45" s="12"/>
      <c r="H45" s="200"/>
      <c r="I45" s="21">
        <v>17.142857142857142</v>
      </c>
      <c r="J45" s="29">
        <v>2171.4285714285716</v>
      </c>
      <c r="K45" s="12">
        <f t="shared" si="1"/>
        <v>126.66666666666667</v>
      </c>
      <c r="L45" s="21">
        <v>17.142857142857142</v>
      </c>
      <c r="M45" s="13">
        <f>AVERAGE(M38:M44)</f>
        <v>2079.2306483997695</v>
      </c>
      <c r="N45" s="12">
        <f t="shared" si="3"/>
        <v>121.28845448998656</v>
      </c>
      <c r="O45" s="14">
        <f t="shared" si="4"/>
        <v>0</v>
      </c>
      <c r="P45" s="15">
        <f t="shared" si="5"/>
        <v>-5.3782121766801083</v>
      </c>
      <c r="Q45" s="191">
        <f t="shared" si="6"/>
        <v>0.9575404301841044</v>
      </c>
      <c r="R45" s="616"/>
      <c r="S45" s="32"/>
      <c r="T45" s="32"/>
      <c r="U45" s="12"/>
      <c r="V45" s="199"/>
      <c r="W45" s="12"/>
      <c r="X45" s="12"/>
      <c r="Y45" s="22">
        <f>SUM(Y38:Y44)</f>
        <v>0</v>
      </c>
      <c r="Z45" s="22">
        <f>SUM(Z38:Z44)</f>
        <v>0</v>
      </c>
      <c r="AA45" s="611"/>
      <c r="AB45" s="611"/>
      <c r="AC45" s="22">
        <v>7</v>
      </c>
      <c r="AD45" s="22">
        <f>SUM(AD38:AD44)</f>
        <v>0</v>
      </c>
      <c r="AE45" s="14">
        <f t="shared" si="8"/>
        <v>-92.197923028802052</v>
      </c>
      <c r="AF45" s="191">
        <f t="shared" si="9"/>
        <v>0.95754043018410429</v>
      </c>
      <c r="AG45" s="616"/>
    </row>
    <row r="46" spans="1:33" ht="15.75" customHeight="1">
      <c r="A46" s="623" t="s">
        <v>824</v>
      </c>
      <c r="B46" s="27" t="s">
        <v>27</v>
      </c>
      <c r="C46" s="605" t="s">
        <v>33</v>
      </c>
      <c r="D46" s="606"/>
      <c r="E46" s="27">
        <v>34.36</v>
      </c>
      <c r="F46" s="200">
        <v>2156</v>
      </c>
      <c r="G46" s="192">
        <f t="shared" ref="G46:G49" si="31">E46*F46</f>
        <v>74080.160000000003</v>
      </c>
      <c r="H46" s="31" t="s">
        <v>40</v>
      </c>
      <c r="I46" s="198">
        <v>10</v>
      </c>
      <c r="J46" s="29">
        <v>3000</v>
      </c>
      <c r="K46" s="12">
        <f t="shared" si="1"/>
        <v>300</v>
      </c>
      <c r="L46" s="198">
        <v>10</v>
      </c>
      <c r="M46" s="13">
        <f t="shared" ref="M46:M49" si="32">F46/V46*60</f>
        <v>2874.6666666666665</v>
      </c>
      <c r="N46" s="13">
        <f t="shared" si="3"/>
        <v>287.46666666666664</v>
      </c>
      <c r="O46" s="14">
        <f t="shared" si="4"/>
        <v>0</v>
      </c>
      <c r="P46" s="15">
        <f t="shared" si="5"/>
        <v>-12.53333333333336</v>
      </c>
      <c r="Q46" s="191">
        <f t="shared" si="6"/>
        <v>0.95822222222222209</v>
      </c>
      <c r="R46" s="626">
        <f>Q50</f>
        <v>0.95572097298500525</v>
      </c>
      <c r="S46" s="32">
        <v>0.20833333333333334</v>
      </c>
      <c r="T46" s="32">
        <v>0.23958333333333334</v>
      </c>
      <c r="U46" s="20"/>
      <c r="V46" s="199">
        <f t="shared" ref="V46:V49" si="33">(T46-S46)*24*60</f>
        <v>45</v>
      </c>
      <c r="W46" s="16"/>
      <c r="X46" s="16"/>
      <c r="Y46" s="19"/>
      <c r="Z46" s="19"/>
      <c r="AA46" s="607"/>
      <c r="AB46" s="608"/>
      <c r="AC46" s="18">
        <v>4</v>
      </c>
      <c r="AD46" s="18"/>
      <c r="AE46" s="14">
        <f t="shared" si="8"/>
        <v>-125.33333333333348</v>
      </c>
      <c r="AF46" s="191">
        <f t="shared" si="9"/>
        <v>0.9582222222222222</v>
      </c>
      <c r="AG46" s="626">
        <f>AF50</f>
        <v>0.95572097298500525</v>
      </c>
    </row>
    <row r="47" spans="1:33" ht="15.75" customHeight="1">
      <c r="A47" s="624" t="s">
        <v>824</v>
      </c>
      <c r="B47" s="27" t="s">
        <v>27</v>
      </c>
      <c r="C47" s="605" t="s">
        <v>29</v>
      </c>
      <c r="D47" s="606"/>
      <c r="E47" s="27">
        <v>21.13</v>
      </c>
      <c r="F47" s="200">
        <v>6264</v>
      </c>
      <c r="G47" s="192">
        <f t="shared" si="31"/>
        <v>132358.32</v>
      </c>
      <c r="H47" s="31" t="s">
        <v>40</v>
      </c>
      <c r="I47" s="198">
        <v>10</v>
      </c>
      <c r="J47" s="29">
        <v>3000</v>
      </c>
      <c r="K47" s="12">
        <f t="shared" si="1"/>
        <v>300</v>
      </c>
      <c r="L47" s="198">
        <v>10</v>
      </c>
      <c r="M47" s="13">
        <f t="shared" si="32"/>
        <v>2869.0076335877861</v>
      </c>
      <c r="N47" s="13">
        <f t="shared" si="3"/>
        <v>286.90076335877859</v>
      </c>
      <c r="O47" s="14">
        <f t="shared" si="4"/>
        <v>0</v>
      </c>
      <c r="P47" s="15">
        <f t="shared" si="5"/>
        <v>-13.09923664122141</v>
      </c>
      <c r="Q47" s="191">
        <f t="shared" si="6"/>
        <v>0.95633587786259533</v>
      </c>
      <c r="R47" s="627"/>
      <c r="S47" s="32">
        <v>0.24375000000000002</v>
      </c>
      <c r="T47" s="32">
        <v>0.33472222222222225</v>
      </c>
      <c r="U47" s="192">
        <f t="shared" ref="U47:U49" si="34">(S47-T46)*24*60</f>
        <v>6.0000000000000187</v>
      </c>
      <c r="V47" s="199">
        <f t="shared" si="33"/>
        <v>131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-130.99236641221387</v>
      </c>
      <c r="AF47" s="191">
        <f t="shared" si="9"/>
        <v>0.95633587786259533</v>
      </c>
      <c r="AG47" s="627"/>
    </row>
    <row r="48" spans="1:33" ht="15.75" customHeight="1">
      <c r="A48" s="624" t="s">
        <v>824</v>
      </c>
      <c r="B48" s="27" t="s">
        <v>27</v>
      </c>
      <c r="C48" s="605" t="s">
        <v>30</v>
      </c>
      <c r="D48" s="606"/>
      <c r="E48" s="27">
        <v>27.17</v>
      </c>
      <c r="F48" s="200">
        <v>5670</v>
      </c>
      <c r="G48" s="192">
        <f t="shared" si="31"/>
        <v>154053.90000000002</v>
      </c>
      <c r="H48" s="31" t="s">
        <v>40</v>
      </c>
      <c r="I48" s="198">
        <v>10</v>
      </c>
      <c r="J48" s="29">
        <v>3000</v>
      </c>
      <c r="K48" s="12">
        <f t="shared" si="1"/>
        <v>300</v>
      </c>
      <c r="L48" s="198">
        <v>10</v>
      </c>
      <c r="M48" s="13">
        <f t="shared" si="32"/>
        <v>2858.8235294117653</v>
      </c>
      <c r="N48" s="13">
        <f t="shared" si="3"/>
        <v>285.88235294117652</v>
      </c>
      <c r="O48" s="14">
        <f t="shared" si="4"/>
        <v>0</v>
      </c>
      <c r="P48" s="15">
        <f t="shared" si="5"/>
        <v>-14.117647058823479</v>
      </c>
      <c r="Q48" s="191">
        <f t="shared" si="6"/>
        <v>0.9529411764705884</v>
      </c>
      <c r="R48" s="627"/>
      <c r="S48" s="32">
        <v>0.33958333333333335</v>
      </c>
      <c r="T48" s="32">
        <v>0.42222222222222222</v>
      </c>
      <c r="U48" s="192">
        <f t="shared" si="34"/>
        <v>6.9999999999999751</v>
      </c>
      <c r="V48" s="199">
        <f t="shared" si="33"/>
        <v>118.99999999999997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-141.17647058823468</v>
      </c>
      <c r="AF48" s="191">
        <f t="shared" si="9"/>
        <v>0.9529411764705884</v>
      </c>
      <c r="AG48" s="627"/>
    </row>
    <row r="49" spans="1:33" ht="15.75" customHeight="1">
      <c r="A49" s="624" t="s">
        <v>824</v>
      </c>
      <c r="B49" s="27" t="s">
        <v>27</v>
      </c>
      <c r="C49" s="605" t="s">
        <v>35</v>
      </c>
      <c r="D49" s="606"/>
      <c r="E49" s="27">
        <v>35.869999999999997</v>
      </c>
      <c r="F49" s="200">
        <v>3105</v>
      </c>
      <c r="G49" s="192">
        <f t="shared" si="31"/>
        <v>111376.34999999999</v>
      </c>
      <c r="H49" s="31" t="s">
        <v>40</v>
      </c>
      <c r="I49" s="198">
        <v>9</v>
      </c>
      <c r="J49" s="29">
        <v>3000</v>
      </c>
      <c r="K49" s="12">
        <f t="shared" si="1"/>
        <v>333.33333333333331</v>
      </c>
      <c r="L49" s="198">
        <v>9</v>
      </c>
      <c r="M49" s="13">
        <f t="shared" si="32"/>
        <v>2866.1538461538457</v>
      </c>
      <c r="N49" s="13">
        <f t="shared" si="3"/>
        <v>318.4615384615384</v>
      </c>
      <c r="O49" s="14">
        <f t="shared" si="4"/>
        <v>0</v>
      </c>
      <c r="P49" s="15">
        <f t="shared" si="5"/>
        <v>-14.871794871794918</v>
      </c>
      <c r="Q49" s="191">
        <f t="shared" si="6"/>
        <v>0.95538461538461528</v>
      </c>
      <c r="R49" s="627"/>
      <c r="S49" s="32">
        <v>0.42708333333333331</v>
      </c>
      <c r="T49" s="32">
        <v>0.47222222222222221</v>
      </c>
      <c r="U49" s="192">
        <f t="shared" si="34"/>
        <v>6.9999999999999751</v>
      </c>
      <c r="V49" s="199">
        <f t="shared" si="33"/>
        <v>65.000000000000014</v>
      </c>
      <c r="W49" s="16"/>
      <c r="X49" s="16"/>
      <c r="Y49" s="19"/>
      <c r="Z49" s="19"/>
      <c r="AA49" s="607"/>
      <c r="AB49" s="608"/>
      <c r="AC49" s="18"/>
      <c r="AD49" s="18"/>
      <c r="AE49" s="14">
        <f t="shared" si="8"/>
        <v>-133.84615384615427</v>
      </c>
      <c r="AF49" s="191">
        <f t="shared" si="9"/>
        <v>0.95538461538461528</v>
      </c>
      <c r="AG49" s="627"/>
    </row>
    <row r="50" spans="1:33" ht="15.75" customHeight="1">
      <c r="A50" s="625" t="s">
        <v>824</v>
      </c>
      <c r="B50" s="27" t="s">
        <v>816</v>
      </c>
      <c r="C50" s="609"/>
      <c r="D50" s="610"/>
      <c r="E50" s="189"/>
      <c r="F50" s="200"/>
      <c r="G50" s="192"/>
      <c r="H50" s="200"/>
      <c r="I50" s="21">
        <v>9.75</v>
      </c>
      <c r="J50" s="29">
        <v>3000</v>
      </c>
      <c r="K50" s="12">
        <f t="shared" si="1"/>
        <v>307.69230769230768</v>
      </c>
      <c r="L50" s="21">
        <v>9.75</v>
      </c>
      <c r="M50" s="13">
        <f>AVERAGE(M46:M49)</f>
        <v>2867.1629189550158</v>
      </c>
      <c r="N50" s="12">
        <f t="shared" si="3"/>
        <v>294.0679916876939</v>
      </c>
      <c r="O50" s="14">
        <f t="shared" si="4"/>
        <v>0</v>
      </c>
      <c r="P50" s="15">
        <f t="shared" si="5"/>
        <v>-13.624316004613775</v>
      </c>
      <c r="Q50" s="191">
        <f t="shared" si="6"/>
        <v>0.95572097298500525</v>
      </c>
      <c r="R50" s="628"/>
      <c r="S50" s="32"/>
      <c r="T50" s="32"/>
      <c r="U50" s="192"/>
      <c r="V50" s="199"/>
      <c r="W50" s="16"/>
      <c r="X50" s="16"/>
      <c r="Y50" s="22">
        <f>SUM(Y46:Y49)</f>
        <v>0</v>
      </c>
      <c r="Z50" s="22">
        <f>SUM(Z46:Z49)</f>
        <v>0</v>
      </c>
      <c r="AA50" s="619"/>
      <c r="AB50" s="620"/>
      <c r="AC50" s="22">
        <v>4</v>
      </c>
      <c r="AD50" s="22">
        <f>SUM(AD46:AD49)</f>
        <v>0</v>
      </c>
      <c r="AE50" s="14">
        <f t="shared" si="8"/>
        <v>-132.83708104498419</v>
      </c>
      <c r="AF50" s="191">
        <f t="shared" si="9"/>
        <v>0.95572097298500525</v>
      </c>
      <c r="AG50" s="628"/>
    </row>
    <row r="51" spans="1:33" ht="15.75" customHeight="1">
      <c r="A51" s="621" t="s">
        <v>825</v>
      </c>
      <c r="B51" s="27" t="s">
        <v>5</v>
      </c>
      <c r="C51" s="660" t="s">
        <v>15</v>
      </c>
      <c r="D51" s="660"/>
      <c r="E51" s="27">
        <v>59.04</v>
      </c>
      <c r="F51" s="30">
        <v>2391</v>
      </c>
      <c r="G51" s="192">
        <f t="shared" ref="G51:G57" si="35">E51*F51</f>
        <v>141164.63999999998</v>
      </c>
      <c r="H51" s="31" t="s">
        <v>40</v>
      </c>
      <c r="I51" s="198">
        <v>19</v>
      </c>
      <c r="J51" s="29">
        <v>2000</v>
      </c>
      <c r="K51" s="12">
        <f t="shared" si="1"/>
        <v>105.26315789473684</v>
      </c>
      <c r="L51" s="198">
        <v>19</v>
      </c>
      <c r="M51" s="13">
        <f t="shared" ref="M51" si="36">F51/V51*60</f>
        <v>1912.7999999999997</v>
      </c>
      <c r="N51" s="13">
        <f t="shared" si="3"/>
        <v>100.6736842105263</v>
      </c>
      <c r="O51" s="14">
        <f t="shared" si="4"/>
        <v>0</v>
      </c>
      <c r="P51" s="15">
        <f t="shared" si="5"/>
        <v>-4.5894736842105317</v>
      </c>
      <c r="Q51" s="191">
        <f t="shared" si="6"/>
        <v>0.95639999999999992</v>
      </c>
      <c r="R51" s="616">
        <f>Q58</f>
        <v>0.95922160842877779</v>
      </c>
      <c r="S51" s="32">
        <v>0.20833333333333334</v>
      </c>
      <c r="T51" s="32">
        <v>0.26041666666666669</v>
      </c>
      <c r="U51" s="20"/>
      <c r="V51" s="199">
        <f t="shared" ref="V51:V57" si="37">(T51-S51)*24*60</f>
        <v>75.000000000000014</v>
      </c>
      <c r="W51" s="16"/>
      <c r="X51" s="16"/>
      <c r="Y51" s="20"/>
      <c r="Z51" s="20"/>
      <c r="AA51" s="612"/>
      <c r="AB51" s="612"/>
      <c r="AC51" s="18">
        <v>7</v>
      </c>
      <c r="AD51" s="18"/>
      <c r="AE51" s="14">
        <f t="shared" si="8"/>
        <v>-87.200000000000273</v>
      </c>
      <c r="AF51" s="191">
        <f t="shared" si="9"/>
        <v>0.95639999999999992</v>
      </c>
      <c r="AG51" s="616">
        <f>AF58</f>
        <v>0.95922160842877779</v>
      </c>
    </row>
    <row r="52" spans="1:33" ht="15.75" customHeight="1">
      <c r="A52" s="621" t="s">
        <v>826</v>
      </c>
      <c r="B52" s="27" t="s">
        <v>5</v>
      </c>
      <c r="C52" s="660" t="s">
        <v>31</v>
      </c>
      <c r="D52" s="660"/>
      <c r="E52" s="27">
        <v>56.43</v>
      </c>
      <c r="F52" s="30">
        <v>1319</v>
      </c>
      <c r="G52" s="192">
        <f t="shared" si="35"/>
        <v>74431.17</v>
      </c>
      <c r="H52" s="31" t="s">
        <v>40</v>
      </c>
      <c r="I52" s="198">
        <v>22</v>
      </c>
      <c r="J52" s="29">
        <v>2000</v>
      </c>
      <c r="K52" s="12">
        <f t="shared" si="1"/>
        <v>90.909090909090907</v>
      </c>
      <c r="L52" s="198">
        <v>22</v>
      </c>
      <c r="M52" s="13">
        <f>F52/V52*60</f>
        <v>1930.2439024390237</v>
      </c>
      <c r="N52" s="13">
        <f t="shared" si="3"/>
        <v>87.738359201773804</v>
      </c>
      <c r="O52" s="14">
        <f t="shared" si="4"/>
        <v>0</v>
      </c>
      <c r="P52" s="15">
        <f t="shared" si="5"/>
        <v>-3.1707317073171026</v>
      </c>
      <c r="Q52" s="191">
        <f t="shared" si="6"/>
        <v>0.96512195121951183</v>
      </c>
      <c r="R52" s="616"/>
      <c r="S52" s="32">
        <v>0.26458333333333334</v>
      </c>
      <c r="T52" s="32">
        <v>0.29305555555555557</v>
      </c>
      <c r="U52" s="192">
        <f t="shared" ref="U52:U57" si="38">IF(S52=TIME(17,0,0),"",(S52-T51)*24*60)</f>
        <v>5.9999999999999787</v>
      </c>
      <c r="V52" s="199">
        <f t="shared" si="37"/>
        <v>41.000000000000014</v>
      </c>
      <c r="W52" s="16"/>
      <c r="X52" s="16"/>
      <c r="Y52" s="16"/>
      <c r="Z52" s="16"/>
      <c r="AA52" s="612"/>
      <c r="AB52" s="612"/>
      <c r="AC52" s="18"/>
      <c r="AD52" s="18"/>
      <c r="AE52" s="14">
        <f t="shared" si="8"/>
        <v>-69.756097560976286</v>
      </c>
      <c r="AF52" s="191">
        <f t="shared" si="9"/>
        <v>0.96512195121951183</v>
      </c>
      <c r="AG52" s="616"/>
    </row>
    <row r="53" spans="1:33" ht="15.75" customHeight="1">
      <c r="A53" s="621" t="s">
        <v>825</v>
      </c>
      <c r="B53" s="27" t="s">
        <v>8</v>
      </c>
      <c r="C53" s="605" t="s">
        <v>61</v>
      </c>
      <c r="D53" s="606"/>
      <c r="E53" s="27">
        <v>46</v>
      </c>
      <c r="F53" s="30">
        <v>2136</v>
      </c>
      <c r="G53" s="192">
        <f t="shared" si="35"/>
        <v>98256</v>
      </c>
      <c r="H53" s="31" t="s">
        <v>40</v>
      </c>
      <c r="I53" s="198">
        <v>16</v>
      </c>
      <c r="J53" s="29">
        <v>2000</v>
      </c>
      <c r="K53" s="12">
        <f t="shared" si="1"/>
        <v>125</v>
      </c>
      <c r="L53" s="198">
        <v>16</v>
      </c>
      <c r="M53" s="13">
        <f t="shared" ref="M53:M57" si="39">F53/V53*60</f>
        <v>1912.8358208955224</v>
      </c>
      <c r="N53" s="13">
        <f t="shared" si="3"/>
        <v>119.55223880597015</v>
      </c>
      <c r="O53" s="14">
        <f t="shared" si="4"/>
        <v>0</v>
      </c>
      <c r="P53" s="15">
        <f t="shared" si="5"/>
        <v>-5.4477611940298516</v>
      </c>
      <c r="Q53" s="191">
        <f t="shared" si="6"/>
        <v>0.95641791044776114</v>
      </c>
      <c r="R53" s="616"/>
      <c r="S53" s="32">
        <v>0.2986111111111111</v>
      </c>
      <c r="T53" s="32">
        <v>0.34513888888888888</v>
      </c>
      <c r="U53" s="192">
        <f t="shared" si="38"/>
        <v>7.9999999999999716</v>
      </c>
      <c r="V53" s="199">
        <f t="shared" si="37"/>
        <v>67</v>
      </c>
      <c r="W53" s="16"/>
      <c r="X53" s="16"/>
      <c r="Y53" s="19"/>
      <c r="Z53" s="19"/>
      <c r="AA53" s="612"/>
      <c r="AB53" s="612"/>
      <c r="AC53" s="18"/>
      <c r="AD53" s="18"/>
      <c r="AE53" s="14">
        <f t="shared" si="8"/>
        <v>-87.164179104477626</v>
      </c>
      <c r="AF53" s="191">
        <f t="shared" si="9"/>
        <v>0.95641791044776114</v>
      </c>
      <c r="AG53" s="616"/>
    </row>
    <row r="54" spans="1:33" ht="15.75" customHeight="1">
      <c r="A54" s="621" t="s">
        <v>184</v>
      </c>
      <c r="B54" s="27" t="s">
        <v>8</v>
      </c>
      <c r="C54" s="194" t="s">
        <v>79</v>
      </c>
      <c r="D54" s="195"/>
      <c r="E54" s="27">
        <v>46</v>
      </c>
      <c r="F54" s="30">
        <v>2954</v>
      </c>
      <c r="G54" s="192">
        <f t="shared" si="35"/>
        <v>135884</v>
      </c>
      <c r="H54" s="31" t="s">
        <v>40</v>
      </c>
      <c r="I54" s="198">
        <v>17</v>
      </c>
      <c r="J54" s="29">
        <v>2000</v>
      </c>
      <c r="K54" s="12">
        <f t="shared" si="1"/>
        <v>117.64705882352941</v>
      </c>
      <c r="L54" s="198">
        <v>17</v>
      </c>
      <c r="M54" s="13">
        <f t="shared" si="39"/>
        <v>1905.8064516129036</v>
      </c>
      <c r="N54" s="13">
        <f t="shared" si="3"/>
        <v>112.10626185958256</v>
      </c>
      <c r="O54" s="14">
        <f t="shared" si="4"/>
        <v>0</v>
      </c>
      <c r="P54" s="15">
        <f t="shared" si="5"/>
        <v>-5.5407969639468462</v>
      </c>
      <c r="Q54" s="191">
        <f t="shared" si="6"/>
        <v>0.95290322580645181</v>
      </c>
      <c r="R54" s="616"/>
      <c r="S54" s="32">
        <v>0.35069444444444442</v>
      </c>
      <c r="T54" s="32">
        <v>0.41527777777777775</v>
      </c>
      <c r="U54" s="192">
        <f t="shared" si="38"/>
        <v>7.9999999999999716</v>
      </c>
      <c r="V54" s="199">
        <f t="shared" si="37"/>
        <v>92.999999999999986</v>
      </c>
      <c r="W54" s="16"/>
      <c r="X54" s="16"/>
      <c r="Y54" s="19"/>
      <c r="Z54" s="19"/>
      <c r="AA54" s="612"/>
      <c r="AB54" s="612"/>
      <c r="AC54" s="18"/>
      <c r="AD54" s="18"/>
      <c r="AE54" s="14">
        <f t="shared" si="8"/>
        <v>-94.193548387096371</v>
      </c>
      <c r="AF54" s="191">
        <f t="shared" si="9"/>
        <v>0.95290322580645181</v>
      </c>
      <c r="AG54" s="616"/>
    </row>
    <row r="55" spans="1:33" ht="15.75" customHeight="1">
      <c r="A55" s="621" t="s">
        <v>825</v>
      </c>
      <c r="B55" s="27" t="s">
        <v>5</v>
      </c>
      <c r="C55" s="194" t="s">
        <v>32</v>
      </c>
      <c r="D55" s="195"/>
      <c r="E55" s="27">
        <v>55.56</v>
      </c>
      <c r="F55" s="30">
        <v>2411</v>
      </c>
      <c r="G55" s="192">
        <f t="shared" si="35"/>
        <v>133955.16</v>
      </c>
      <c r="H55" s="31" t="s">
        <v>40</v>
      </c>
      <c r="I55" s="198">
        <v>17</v>
      </c>
      <c r="J55" s="29">
        <v>2000</v>
      </c>
      <c r="K55" s="12">
        <f t="shared" si="1"/>
        <v>117.64705882352941</v>
      </c>
      <c r="L55" s="198">
        <v>17</v>
      </c>
      <c r="M55" s="13">
        <f t="shared" si="39"/>
        <v>1903.4210526315776</v>
      </c>
      <c r="N55" s="13">
        <f t="shared" si="3"/>
        <v>111.96594427244574</v>
      </c>
      <c r="O55" s="14">
        <f t="shared" si="4"/>
        <v>0</v>
      </c>
      <c r="P55" s="15">
        <f t="shared" si="5"/>
        <v>-5.6811145510836667</v>
      </c>
      <c r="Q55" s="191">
        <f t="shared" si="6"/>
        <v>0.95171052631578879</v>
      </c>
      <c r="R55" s="616"/>
      <c r="S55" s="32">
        <v>0.70833333333333337</v>
      </c>
      <c r="T55" s="32">
        <v>0.76111111111111118</v>
      </c>
      <c r="U55" s="192" t="str">
        <f t="shared" si="38"/>
        <v/>
      </c>
      <c r="V55" s="199">
        <f t="shared" si="37"/>
        <v>76.000000000000057</v>
      </c>
      <c r="W55" s="16"/>
      <c r="X55" s="16"/>
      <c r="Y55" s="19"/>
      <c r="Z55" s="19"/>
      <c r="AA55" s="612"/>
      <c r="AB55" s="612"/>
      <c r="AC55" s="18"/>
      <c r="AD55" s="18"/>
      <c r="AE55" s="14">
        <f t="shared" si="8"/>
        <v>-96.578947368422405</v>
      </c>
      <c r="AF55" s="191">
        <f t="shared" si="9"/>
        <v>0.95171052631578879</v>
      </c>
      <c r="AG55" s="616"/>
    </row>
    <row r="56" spans="1:33" ht="15.75" customHeight="1">
      <c r="A56" s="621" t="s">
        <v>825</v>
      </c>
      <c r="B56" s="27" t="s">
        <v>5</v>
      </c>
      <c r="C56" s="605" t="s">
        <v>77</v>
      </c>
      <c r="D56" s="606"/>
      <c r="E56" s="27">
        <v>54.09</v>
      </c>
      <c r="F56" s="30">
        <v>1581</v>
      </c>
      <c r="G56" s="192">
        <f t="shared" si="35"/>
        <v>85516.290000000008</v>
      </c>
      <c r="H56" s="31" t="s">
        <v>40</v>
      </c>
      <c r="I56" s="198">
        <v>13</v>
      </c>
      <c r="J56" s="29">
        <v>2000</v>
      </c>
      <c r="K56" s="12">
        <f t="shared" si="1"/>
        <v>153.84615384615384</v>
      </c>
      <c r="L56" s="198">
        <v>13</v>
      </c>
      <c r="M56" s="13">
        <f t="shared" si="39"/>
        <v>1935.9183673469395</v>
      </c>
      <c r="N56" s="13">
        <f t="shared" si="3"/>
        <v>148.91679748822611</v>
      </c>
      <c r="O56" s="14">
        <f t="shared" si="4"/>
        <v>0</v>
      </c>
      <c r="P56" s="15">
        <f t="shared" si="5"/>
        <v>-4.9293563579277304</v>
      </c>
      <c r="Q56" s="191">
        <f t="shared" si="6"/>
        <v>0.96795918367346978</v>
      </c>
      <c r="R56" s="616"/>
      <c r="S56" s="32">
        <v>0.76458333333333339</v>
      </c>
      <c r="T56" s="32">
        <v>0.79861111111111116</v>
      </c>
      <c r="U56" s="192">
        <f t="shared" si="38"/>
        <v>4.9999999999999822</v>
      </c>
      <c r="V56" s="199">
        <f t="shared" si="37"/>
        <v>48.999999999999986</v>
      </c>
      <c r="W56" s="16"/>
      <c r="X56" s="16"/>
      <c r="Y56" s="19"/>
      <c r="Z56" s="19"/>
      <c r="AA56" s="607"/>
      <c r="AB56" s="608"/>
      <c r="AC56" s="18"/>
      <c r="AD56" s="18"/>
      <c r="AE56" s="14">
        <f t="shared" si="8"/>
        <v>-64.081632653060524</v>
      </c>
      <c r="AF56" s="191">
        <f t="shared" si="9"/>
        <v>0.96795918367346978</v>
      </c>
      <c r="AG56" s="616"/>
    </row>
    <row r="57" spans="1:33" ht="15.75" customHeight="1">
      <c r="A57" s="621" t="s">
        <v>827</v>
      </c>
      <c r="B57" s="27" t="s">
        <v>5</v>
      </c>
      <c r="C57" s="605" t="s">
        <v>65</v>
      </c>
      <c r="D57" s="606"/>
      <c r="E57" s="27">
        <v>56.43</v>
      </c>
      <c r="F57" s="30">
        <v>1671</v>
      </c>
      <c r="G57" s="192">
        <f t="shared" si="35"/>
        <v>94294.53</v>
      </c>
      <c r="H57" s="31" t="s">
        <v>40</v>
      </c>
      <c r="I57" s="198">
        <v>13</v>
      </c>
      <c r="J57" s="29">
        <v>2000</v>
      </c>
      <c r="K57" s="12">
        <f t="shared" si="1"/>
        <v>153.84615384615384</v>
      </c>
      <c r="L57" s="198">
        <v>13</v>
      </c>
      <c r="M57" s="13">
        <f t="shared" si="39"/>
        <v>1928.076923076924</v>
      </c>
      <c r="N57" s="13">
        <f t="shared" si="3"/>
        <v>148.31360946745571</v>
      </c>
      <c r="O57" s="14">
        <f t="shared" si="4"/>
        <v>0</v>
      </c>
      <c r="P57" s="15">
        <f t="shared" si="5"/>
        <v>-5.5325443786981339</v>
      </c>
      <c r="Q57" s="191">
        <f t="shared" si="6"/>
        <v>0.96403846153846218</v>
      </c>
      <c r="R57" s="616"/>
      <c r="S57" s="32">
        <v>0.8041666666666667</v>
      </c>
      <c r="T57" s="32">
        <v>0.84027777777777779</v>
      </c>
      <c r="U57" s="192">
        <f t="shared" si="38"/>
        <v>7.9999999999999716</v>
      </c>
      <c r="V57" s="199">
        <f t="shared" si="37"/>
        <v>51.999999999999972</v>
      </c>
      <c r="W57" s="16"/>
      <c r="X57" s="16"/>
      <c r="Y57" s="19"/>
      <c r="Z57" s="19"/>
      <c r="AA57" s="607"/>
      <c r="AB57" s="608"/>
      <c r="AC57" s="18"/>
      <c r="AD57" s="18"/>
      <c r="AE57" s="14">
        <f t="shared" si="8"/>
        <v>-71.923076923075996</v>
      </c>
      <c r="AF57" s="191">
        <f t="shared" si="9"/>
        <v>0.96403846153846195</v>
      </c>
      <c r="AG57" s="616"/>
    </row>
    <row r="58" spans="1:33">
      <c r="A58" s="622" t="s">
        <v>184</v>
      </c>
      <c r="B58" s="27" t="s">
        <v>816</v>
      </c>
      <c r="C58" s="658"/>
      <c r="D58" s="658"/>
      <c r="E58" s="193"/>
      <c r="F58" s="28"/>
      <c r="G58" s="12"/>
      <c r="H58" s="200"/>
      <c r="I58" s="21">
        <v>16.714285714285715</v>
      </c>
      <c r="J58" s="29">
        <v>2000</v>
      </c>
      <c r="K58" s="12">
        <f t="shared" si="1"/>
        <v>119.65811965811965</v>
      </c>
      <c r="L58" s="21">
        <v>16.714285714285715</v>
      </c>
      <c r="M58" s="13">
        <f>AVERAGE(M51:M57)</f>
        <v>1918.4432168575556</v>
      </c>
      <c r="N58" s="12">
        <f t="shared" si="3"/>
        <v>114.77865400002469</v>
      </c>
      <c r="O58" s="14">
        <f t="shared" si="4"/>
        <v>0</v>
      </c>
      <c r="P58" s="15">
        <f t="shared" si="5"/>
        <v>-4.8794656580949578</v>
      </c>
      <c r="Q58" s="191">
        <f t="shared" si="6"/>
        <v>0.95922160842877779</v>
      </c>
      <c r="R58" s="616"/>
      <c r="S58" s="32"/>
      <c r="T58" s="32"/>
      <c r="U58" s="192"/>
      <c r="V58" s="199"/>
      <c r="W58" s="12"/>
      <c r="X58" s="12"/>
      <c r="Y58" s="22">
        <f>SUM(Y51:Y57)</f>
        <v>0</v>
      </c>
      <c r="Z58" s="22">
        <f>SUM(Z51:Z57)</f>
        <v>0</v>
      </c>
      <c r="AA58" s="611"/>
      <c r="AB58" s="611"/>
      <c r="AC58" s="22">
        <v>7</v>
      </c>
      <c r="AD58" s="22">
        <f>SUM(AD51:AD57)</f>
        <v>0</v>
      </c>
      <c r="AE58" s="14">
        <f>M58-J58</f>
        <v>-81.556783142444374</v>
      </c>
      <c r="AF58" s="191">
        <f t="shared" si="9"/>
        <v>0.95922160842877779</v>
      </c>
      <c r="AG58" s="616"/>
    </row>
    <row r="59" spans="1:33" ht="15.75" customHeight="1">
      <c r="A59" s="617" t="s">
        <v>828</v>
      </c>
      <c r="B59" s="200" t="s">
        <v>27</v>
      </c>
      <c r="C59" s="660" t="s">
        <v>28</v>
      </c>
      <c r="D59" s="660"/>
      <c r="E59" s="27">
        <v>35.119999999999997</v>
      </c>
      <c r="F59" s="30">
        <v>4606</v>
      </c>
      <c r="G59" s="192">
        <f t="shared" ref="G59:G62" si="40">E59*F59</f>
        <v>161762.72</v>
      </c>
      <c r="H59" s="31" t="s">
        <v>40</v>
      </c>
      <c r="I59" s="198">
        <v>10</v>
      </c>
      <c r="J59" s="29">
        <v>3000</v>
      </c>
      <c r="K59" s="12">
        <f t="shared" si="1"/>
        <v>300</v>
      </c>
      <c r="L59" s="198">
        <v>10</v>
      </c>
      <c r="M59" s="13">
        <f t="shared" ref="M59:M62" si="41">F59/V59*60</f>
        <v>2878.7499999999995</v>
      </c>
      <c r="N59" s="12">
        <f t="shared" si="3"/>
        <v>287.87499999999994</v>
      </c>
      <c r="O59" s="14">
        <f t="shared" si="4"/>
        <v>0</v>
      </c>
      <c r="P59" s="15">
        <f t="shared" si="5"/>
        <v>-12.125000000000057</v>
      </c>
      <c r="Q59" s="191">
        <f t="shared" si="6"/>
        <v>0.95958333333333312</v>
      </c>
      <c r="R59" s="616">
        <f>Q63</f>
        <v>0.96122148825654918</v>
      </c>
      <c r="S59" s="32">
        <v>0.20833333333333334</v>
      </c>
      <c r="T59" s="32">
        <v>0.27500000000000002</v>
      </c>
      <c r="U59" s="192"/>
      <c r="V59" s="199">
        <f t="shared" ref="V59:V62" si="42">(T59-S59)*24*60</f>
        <v>96.000000000000014</v>
      </c>
      <c r="W59" s="16"/>
      <c r="X59" s="16"/>
      <c r="Y59" s="20"/>
      <c r="Z59" s="20"/>
      <c r="AA59" s="612"/>
      <c r="AB59" s="612"/>
      <c r="AC59" s="18">
        <v>4</v>
      </c>
      <c r="AD59" s="18"/>
      <c r="AE59" s="14">
        <f t="shared" ref="AE59:AE71" si="43">M59-J59</f>
        <v>-121.25000000000045</v>
      </c>
      <c r="AF59" s="191">
        <f t="shared" si="9"/>
        <v>0.95958333333333323</v>
      </c>
      <c r="AG59" s="616">
        <f>AF63</f>
        <v>0.96122148825654918</v>
      </c>
    </row>
    <row r="60" spans="1:33" ht="15.75" customHeight="1">
      <c r="A60" s="617" t="s">
        <v>829</v>
      </c>
      <c r="B60" s="200" t="s">
        <v>27</v>
      </c>
      <c r="C60" s="660" t="s">
        <v>34</v>
      </c>
      <c r="D60" s="660"/>
      <c r="E60" s="27">
        <v>26.78</v>
      </c>
      <c r="F60" s="30">
        <v>2578</v>
      </c>
      <c r="G60" s="192">
        <f t="shared" si="40"/>
        <v>69038.84</v>
      </c>
      <c r="H60" s="31" t="s">
        <v>40</v>
      </c>
      <c r="I60" s="198">
        <v>10</v>
      </c>
      <c r="J60" s="29">
        <v>3000</v>
      </c>
      <c r="K60" s="12">
        <f t="shared" si="1"/>
        <v>300</v>
      </c>
      <c r="L60" s="198">
        <v>10</v>
      </c>
      <c r="M60" s="13">
        <f t="shared" si="41"/>
        <v>2864.4444444444462</v>
      </c>
      <c r="N60" s="12">
        <f t="shared" si="3"/>
        <v>286.44444444444463</v>
      </c>
      <c r="O60" s="14">
        <f t="shared" si="4"/>
        <v>0</v>
      </c>
      <c r="P60" s="15">
        <f t="shared" si="5"/>
        <v>-13.555555555555372</v>
      </c>
      <c r="Q60" s="191">
        <f t="shared" si="6"/>
        <v>0.95481481481481545</v>
      </c>
      <c r="R60" s="616"/>
      <c r="S60" s="32">
        <v>0.27916666666666667</v>
      </c>
      <c r="T60" s="32">
        <v>0.31666666666666665</v>
      </c>
      <c r="U60" s="192">
        <f t="shared" ref="U60:U62" si="44">(S60-T59)*24*60</f>
        <v>5.9999999999999787</v>
      </c>
      <c r="V60" s="199">
        <f t="shared" si="42"/>
        <v>53.999999999999972</v>
      </c>
      <c r="W60" s="192"/>
      <c r="X60" s="192"/>
      <c r="Y60" s="192"/>
      <c r="Z60" s="192"/>
      <c r="AA60" s="612"/>
      <c r="AB60" s="612"/>
      <c r="AC60" s="18"/>
      <c r="AD60" s="18"/>
      <c r="AE60" s="14">
        <f t="shared" si="43"/>
        <v>-135.55555555555384</v>
      </c>
      <c r="AF60" s="191">
        <f t="shared" si="9"/>
        <v>0.95481481481481534</v>
      </c>
      <c r="AG60" s="616"/>
    </row>
    <row r="61" spans="1:33" ht="15.75" customHeight="1">
      <c r="A61" s="617" t="s">
        <v>828</v>
      </c>
      <c r="B61" s="200" t="s">
        <v>27</v>
      </c>
      <c r="C61" s="660" t="s">
        <v>36</v>
      </c>
      <c r="D61" s="660"/>
      <c r="E61" s="27">
        <v>34.35</v>
      </c>
      <c r="F61" s="30">
        <v>1758</v>
      </c>
      <c r="G61" s="192">
        <f t="shared" si="40"/>
        <v>60387.3</v>
      </c>
      <c r="H61" s="31" t="s">
        <v>40</v>
      </c>
      <c r="I61" s="198">
        <v>8</v>
      </c>
      <c r="J61" s="29">
        <v>3000</v>
      </c>
      <c r="K61" s="12">
        <f t="shared" si="1"/>
        <v>375</v>
      </c>
      <c r="L61" s="198">
        <v>8</v>
      </c>
      <c r="M61" s="13">
        <f t="shared" si="41"/>
        <v>2929.9999999999977</v>
      </c>
      <c r="N61" s="12">
        <f t="shared" si="3"/>
        <v>366.24999999999972</v>
      </c>
      <c r="O61" s="14">
        <f t="shared" si="4"/>
        <v>0</v>
      </c>
      <c r="P61" s="15">
        <f t="shared" si="5"/>
        <v>-8.7500000000002842</v>
      </c>
      <c r="Q61" s="191">
        <f t="shared" si="6"/>
        <v>0.97666666666666591</v>
      </c>
      <c r="R61" s="616"/>
      <c r="S61" s="32">
        <v>0.32152777777777775</v>
      </c>
      <c r="T61" s="32">
        <v>0.34652777777777777</v>
      </c>
      <c r="U61" s="192">
        <f t="shared" si="44"/>
        <v>6.9999999999999751</v>
      </c>
      <c r="V61" s="199">
        <f t="shared" si="42"/>
        <v>36.000000000000028</v>
      </c>
      <c r="W61" s="192"/>
      <c r="X61" s="192"/>
      <c r="Y61" s="192"/>
      <c r="Z61" s="192"/>
      <c r="AA61" s="612"/>
      <c r="AB61" s="612"/>
      <c r="AC61" s="18"/>
      <c r="AD61" s="18"/>
      <c r="AE61" s="14">
        <f t="shared" si="43"/>
        <v>-70.000000000002274</v>
      </c>
      <c r="AF61" s="191">
        <f t="shared" si="9"/>
        <v>0.97666666666666591</v>
      </c>
      <c r="AG61" s="616"/>
    </row>
    <row r="62" spans="1:33" ht="15.75" customHeight="1">
      <c r="A62" s="617" t="s">
        <v>830</v>
      </c>
      <c r="B62" s="200" t="s">
        <v>27</v>
      </c>
      <c r="C62" s="660" t="s">
        <v>737</v>
      </c>
      <c r="D62" s="660"/>
      <c r="E62" s="27">
        <v>36.14</v>
      </c>
      <c r="F62" s="30">
        <v>5866</v>
      </c>
      <c r="G62" s="192">
        <f t="shared" si="40"/>
        <v>211997.24</v>
      </c>
      <c r="H62" s="31" t="s">
        <v>40</v>
      </c>
      <c r="I62" s="198">
        <v>11</v>
      </c>
      <c r="J62" s="29">
        <v>3000</v>
      </c>
      <c r="K62" s="12">
        <f t="shared" si="1"/>
        <v>272.72727272727275</v>
      </c>
      <c r="L62" s="198">
        <v>11</v>
      </c>
      <c r="M62" s="13">
        <f t="shared" si="41"/>
        <v>2861.4634146341473</v>
      </c>
      <c r="N62" s="12">
        <f t="shared" si="3"/>
        <v>260.13303769401341</v>
      </c>
      <c r="O62" s="14">
        <f t="shared" si="4"/>
        <v>0</v>
      </c>
      <c r="P62" s="15">
        <f t="shared" si="5"/>
        <v>-12.594235033259338</v>
      </c>
      <c r="Q62" s="191">
        <f t="shared" si="6"/>
        <v>0.95382113821138248</v>
      </c>
      <c r="R62" s="616"/>
      <c r="S62" s="32">
        <v>0.3520833333333333</v>
      </c>
      <c r="T62" s="32">
        <v>0.43749999999999994</v>
      </c>
      <c r="U62" s="192">
        <f t="shared" si="44"/>
        <v>7.9999999999999716</v>
      </c>
      <c r="V62" s="199">
        <f t="shared" si="42"/>
        <v>122.99999999999996</v>
      </c>
      <c r="W62" s="192"/>
      <c r="X62" s="192"/>
      <c r="Y62" s="192"/>
      <c r="Z62" s="192"/>
      <c r="AA62" s="612"/>
      <c r="AB62" s="612"/>
      <c r="AC62" s="18"/>
      <c r="AD62" s="18"/>
      <c r="AE62" s="14">
        <f t="shared" si="43"/>
        <v>-138.53658536585272</v>
      </c>
      <c r="AF62" s="191">
        <f t="shared" si="9"/>
        <v>0.95382113821138248</v>
      </c>
      <c r="AG62" s="616"/>
    </row>
    <row r="63" spans="1:33">
      <c r="A63" s="618" t="s">
        <v>829</v>
      </c>
      <c r="B63" s="27" t="s">
        <v>816</v>
      </c>
      <c r="C63" s="658"/>
      <c r="D63" s="658"/>
      <c r="E63" s="193"/>
      <c r="F63" s="28"/>
      <c r="G63" s="12"/>
      <c r="H63" s="200"/>
      <c r="I63" s="21">
        <v>9.75</v>
      </c>
      <c r="J63" s="29">
        <v>3000</v>
      </c>
      <c r="K63" s="12">
        <f t="shared" si="1"/>
        <v>307.69230769230768</v>
      </c>
      <c r="L63" s="21">
        <v>9.75</v>
      </c>
      <c r="M63" s="13">
        <f>AVERAGE(M59:M62)</f>
        <v>2883.6644647696476</v>
      </c>
      <c r="N63" s="12">
        <f t="shared" si="3"/>
        <v>295.76045792509206</v>
      </c>
      <c r="O63" s="14">
        <f t="shared" si="4"/>
        <v>0</v>
      </c>
      <c r="P63" s="15">
        <f t="shared" si="5"/>
        <v>-11.931849767215624</v>
      </c>
      <c r="Q63" s="191">
        <f t="shared" si="6"/>
        <v>0.96122148825654918</v>
      </c>
      <c r="R63" s="616"/>
      <c r="S63" s="32"/>
      <c r="T63" s="32"/>
      <c r="U63" s="12"/>
      <c r="V63" s="199"/>
      <c r="W63" s="12"/>
      <c r="X63" s="12"/>
      <c r="Y63" s="22">
        <f>SUM(Y59:Y62)</f>
        <v>0</v>
      </c>
      <c r="Z63" s="22">
        <f>SUM(Z59:Z62)</f>
        <v>0</v>
      </c>
      <c r="AA63" s="611"/>
      <c r="AB63" s="611"/>
      <c r="AC63" s="22">
        <v>4</v>
      </c>
      <c r="AD63" s="22">
        <f>SUM(AD59:AD62)</f>
        <v>0</v>
      </c>
      <c r="AE63" s="14">
        <f t="shared" si="43"/>
        <v>-116.33553523035243</v>
      </c>
      <c r="AF63" s="191">
        <f t="shared" si="9"/>
        <v>0.96122148825654918</v>
      </c>
      <c r="AG63" s="616"/>
    </row>
    <row r="64" spans="1:33" ht="15.75" customHeight="1">
      <c r="A64" s="613" t="s">
        <v>831</v>
      </c>
      <c r="B64" s="200" t="s">
        <v>20</v>
      </c>
      <c r="C64" s="660" t="s">
        <v>39</v>
      </c>
      <c r="D64" s="660"/>
      <c r="E64" s="27">
        <v>19.02</v>
      </c>
      <c r="F64" s="200">
        <v>5700</v>
      </c>
      <c r="G64" s="192">
        <f t="shared" ref="G64:G70" si="45">E64*F64</f>
        <v>108414</v>
      </c>
      <c r="H64" s="31">
        <v>2</v>
      </c>
      <c r="I64" s="198">
        <v>14</v>
      </c>
      <c r="J64" s="29">
        <v>2400</v>
      </c>
      <c r="K64" s="12">
        <f t="shared" si="1"/>
        <v>171.42857142857142</v>
      </c>
      <c r="L64" s="198">
        <v>14</v>
      </c>
      <c r="M64" s="13">
        <f t="shared" ref="M64:M70" si="46">F64/V64*60</f>
        <v>2280</v>
      </c>
      <c r="N64" s="12">
        <f t="shared" si="3"/>
        <v>162.85714285714286</v>
      </c>
      <c r="O64" s="14">
        <f t="shared" si="4"/>
        <v>0</v>
      </c>
      <c r="P64" s="15">
        <f t="shared" si="5"/>
        <v>-8.5714285714285552</v>
      </c>
      <c r="Q64" s="191">
        <f t="shared" si="6"/>
        <v>0.95000000000000007</v>
      </c>
      <c r="R64" s="616">
        <f>Q71</f>
        <v>0.95603813008004357</v>
      </c>
      <c r="S64" s="32">
        <v>8.3333333333333329E-2</v>
      </c>
      <c r="T64" s="32">
        <v>0.1875</v>
      </c>
      <c r="U64" s="20"/>
      <c r="V64" s="199">
        <f t="shared" ref="V64:V70" si="47">(T64-S64)*24*60</f>
        <v>150</v>
      </c>
      <c r="W64" s="16">
        <f>T64</f>
        <v>0.1875</v>
      </c>
      <c r="X64" s="16">
        <f>S65</f>
        <v>0.20486111111111108</v>
      </c>
      <c r="Y64" s="16"/>
      <c r="Z64" s="16"/>
      <c r="AA64" s="612"/>
      <c r="AB64" s="612"/>
      <c r="AC64" s="18">
        <v>7</v>
      </c>
      <c r="AD64" s="18"/>
      <c r="AE64" s="14">
        <f t="shared" si="43"/>
        <v>-120</v>
      </c>
      <c r="AF64" s="191">
        <f t="shared" si="9"/>
        <v>0.95</v>
      </c>
      <c r="AG64" s="616">
        <f>AF71</f>
        <v>0.95603813008004357</v>
      </c>
    </row>
    <row r="65" spans="1:33" ht="15.75" customHeight="1">
      <c r="A65" s="614" t="s">
        <v>832</v>
      </c>
      <c r="B65" s="200" t="s">
        <v>20</v>
      </c>
      <c r="C65" s="660" t="s">
        <v>24</v>
      </c>
      <c r="D65" s="660"/>
      <c r="E65" s="27">
        <v>20.36</v>
      </c>
      <c r="F65" s="200">
        <v>4602</v>
      </c>
      <c r="G65" s="192">
        <f t="shared" si="45"/>
        <v>93696.72</v>
      </c>
      <c r="H65" s="31" t="s">
        <v>40</v>
      </c>
      <c r="I65" s="198">
        <v>17</v>
      </c>
      <c r="J65" s="29">
        <v>2400</v>
      </c>
      <c r="K65" s="12">
        <f t="shared" si="1"/>
        <v>141.1764705882353</v>
      </c>
      <c r="L65" s="198">
        <v>17</v>
      </c>
      <c r="M65" s="13">
        <f t="shared" si="46"/>
        <v>2301</v>
      </c>
      <c r="N65" s="12">
        <f t="shared" si="3"/>
        <v>135.35294117647058</v>
      </c>
      <c r="O65" s="14">
        <f t="shared" si="4"/>
        <v>0</v>
      </c>
      <c r="P65" s="15">
        <f t="shared" si="5"/>
        <v>-5.8235294117647243</v>
      </c>
      <c r="Q65" s="191">
        <f t="shared" si="6"/>
        <v>0.95874999999999988</v>
      </c>
      <c r="R65" s="616"/>
      <c r="S65" s="32">
        <v>0.20486111111111108</v>
      </c>
      <c r="T65" s="32">
        <v>0.28819444444444442</v>
      </c>
      <c r="U65" s="192">
        <f t="shared" ref="U65:U70" si="48">(S65-T64)*24*60</f>
        <v>24.99999999999995</v>
      </c>
      <c r="V65" s="199">
        <f t="shared" si="47"/>
        <v>120</v>
      </c>
      <c r="W65" s="16"/>
      <c r="X65" s="16"/>
      <c r="Y65" s="16"/>
      <c r="Z65" s="16"/>
      <c r="AA65" s="612"/>
      <c r="AB65" s="612"/>
      <c r="AC65" s="18"/>
      <c r="AD65" s="18"/>
      <c r="AE65" s="14">
        <f t="shared" si="43"/>
        <v>-99</v>
      </c>
      <c r="AF65" s="191">
        <f t="shared" si="9"/>
        <v>0.95874999999999999</v>
      </c>
      <c r="AG65" s="616"/>
    </row>
    <row r="66" spans="1:33" ht="15.75" customHeight="1">
      <c r="A66" s="614" t="s">
        <v>73</v>
      </c>
      <c r="B66" s="200" t="s">
        <v>20</v>
      </c>
      <c r="C66" s="660" t="s">
        <v>38</v>
      </c>
      <c r="D66" s="660"/>
      <c r="E66" s="27">
        <v>22.69</v>
      </c>
      <c r="F66" s="200">
        <v>2771</v>
      </c>
      <c r="G66" s="192">
        <f t="shared" si="45"/>
        <v>62873.990000000005</v>
      </c>
      <c r="H66" s="31" t="s">
        <v>40</v>
      </c>
      <c r="I66" s="198">
        <v>15</v>
      </c>
      <c r="J66" s="29">
        <v>2400</v>
      </c>
      <c r="K66" s="12">
        <f t="shared" si="1"/>
        <v>160</v>
      </c>
      <c r="L66" s="198">
        <v>15</v>
      </c>
      <c r="M66" s="13">
        <f t="shared" si="46"/>
        <v>2309.1666666666674</v>
      </c>
      <c r="N66" s="12">
        <f t="shared" si="3"/>
        <v>153.94444444444449</v>
      </c>
      <c r="O66" s="14">
        <f t="shared" si="4"/>
        <v>0</v>
      </c>
      <c r="P66" s="15">
        <f t="shared" si="5"/>
        <v>-6.0555555555555145</v>
      </c>
      <c r="Q66" s="191">
        <f t="shared" si="6"/>
        <v>0.96215277777777808</v>
      </c>
      <c r="R66" s="616"/>
      <c r="S66" s="32">
        <v>0.29236111111111107</v>
      </c>
      <c r="T66" s="32">
        <v>0.34236111111111106</v>
      </c>
      <c r="U66" s="192">
        <f t="shared" si="48"/>
        <v>5.9999999999999787</v>
      </c>
      <c r="V66" s="199">
        <f t="shared" si="47"/>
        <v>71.999999999999986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-90.833333333332575</v>
      </c>
      <c r="AF66" s="191">
        <f t="shared" si="9"/>
        <v>0.96215277777777808</v>
      </c>
      <c r="AG66" s="616"/>
    </row>
    <row r="67" spans="1:33" ht="15.75" customHeight="1">
      <c r="A67" s="614" t="s">
        <v>831</v>
      </c>
      <c r="B67" s="200" t="s">
        <v>20</v>
      </c>
      <c r="C67" s="660" t="s">
        <v>80</v>
      </c>
      <c r="D67" s="660"/>
      <c r="E67" s="27">
        <v>25.98</v>
      </c>
      <c r="F67" s="200">
        <v>4168</v>
      </c>
      <c r="G67" s="192">
        <f t="shared" si="45"/>
        <v>108284.64</v>
      </c>
      <c r="H67" s="31" t="s">
        <v>40</v>
      </c>
      <c r="I67" s="198">
        <v>17</v>
      </c>
      <c r="J67" s="29">
        <v>2400</v>
      </c>
      <c r="K67" s="12">
        <f t="shared" si="1"/>
        <v>141.1764705882353</v>
      </c>
      <c r="L67" s="198">
        <v>17</v>
      </c>
      <c r="M67" s="13">
        <f t="shared" si="46"/>
        <v>2294.3119266055046</v>
      </c>
      <c r="N67" s="12">
        <f t="shared" si="3"/>
        <v>134.95952509444146</v>
      </c>
      <c r="O67" s="14">
        <f t="shared" si="4"/>
        <v>0</v>
      </c>
      <c r="P67" s="15">
        <f t="shared" si="5"/>
        <v>-6.216945493793844</v>
      </c>
      <c r="Q67" s="191">
        <f t="shared" si="6"/>
        <v>0.95596330275229358</v>
      </c>
      <c r="R67" s="616"/>
      <c r="S67" s="32">
        <v>0.34722222222222215</v>
      </c>
      <c r="T67" s="32">
        <v>0.42291666666666661</v>
      </c>
      <c r="U67" s="192">
        <f t="shared" si="48"/>
        <v>6.9999999999999751</v>
      </c>
      <c r="V67" s="199">
        <f t="shared" si="47"/>
        <v>109.00000000000001</v>
      </c>
      <c r="W67" s="16"/>
      <c r="X67" s="16"/>
      <c r="Y67" s="16"/>
      <c r="Z67" s="16"/>
      <c r="AA67" s="612"/>
      <c r="AB67" s="612"/>
      <c r="AC67" s="18"/>
      <c r="AD67" s="18"/>
      <c r="AE67" s="14">
        <f t="shared" si="43"/>
        <v>-105.6880733944954</v>
      </c>
      <c r="AF67" s="191">
        <f t="shared" si="9"/>
        <v>0.95596330275229358</v>
      </c>
      <c r="AG67" s="616"/>
    </row>
    <row r="68" spans="1:33" ht="15.75" customHeight="1">
      <c r="A68" s="614" t="s">
        <v>832</v>
      </c>
      <c r="B68" s="200" t="s">
        <v>20</v>
      </c>
      <c r="C68" s="660" t="s">
        <v>739</v>
      </c>
      <c r="D68" s="660"/>
      <c r="E68" s="27">
        <v>28.29</v>
      </c>
      <c r="F68" s="200">
        <v>4500</v>
      </c>
      <c r="G68" s="192">
        <f t="shared" si="45"/>
        <v>127305</v>
      </c>
      <c r="H68" s="31">
        <v>2</v>
      </c>
      <c r="I68" s="198">
        <v>21</v>
      </c>
      <c r="J68" s="29">
        <v>2400</v>
      </c>
      <c r="K68" s="12">
        <f t="shared" si="1"/>
        <v>114.28571428571429</v>
      </c>
      <c r="L68" s="198">
        <v>21</v>
      </c>
      <c r="M68" s="13">
        <f t="shared" si="46"/>
        <v>2288.1355932203378</v>
      </c>
      <c r="N68" s="12">
        <f t="shared" si="3"/>
        <v>108.95883777239703</v>
      </c>
      <c r="O68" s="14">
        <f t="shared" si="4"/>
        <v>0</v>
      </c>
      <c r="P68" s="15">
        <f t="shared" si="5"/>
        <v>-5.3268765133172593</v>
      </c>
      <c r="Q68" s="191">
        <f t="shared" si="6"/>
        <v>0.95338983050847403</v>
      </c>
      <c r="R68" s="616"/>
      <c r="S68" s="32">
        <v>0.42708333333333326</v>
      </c>
      <c r="T68" s="32">
        <v>0.50902777777777775</v>
      </c>
      <c r="U68" s="192">
        <f t="shared" si="48"/>
        <v>5.9999999999999787</v>
      </c>
      <c r="V68" s="199">
        <f t="shared" si="47"/>
        <v>118.00000000000006</v>
      </c>
      <c r="W68" s="16">
        <f>T68</f>
        <v>0.50902777777777775</v>
      </c>
      <c r="X68" s="16">
        <f>S69</f>
        <v>0.54722222222222217</v>
      </c>
      <c r="Y68" s="16"/>
      <c r="Z68" s="16"/>
      <c r="AA68" s="612"/>
      <c r="AB68" s="612"/>
      <c r="AC68" s="18"/>
      <c r="AD68" s="18"/>
      <c r="AE68" s="14">
        <f t="shared" si="43"/>
        <v>-111.8644067796622</v>
      </c>
      <c r="AF68" s="191">
        <f t="shared" si="9"/>
        <v>0.95338983050847403</v>
      </c>
      <c r="AG68" s="616"/>
    </row>
    <row r="69" spans="1:33" ht="15.75" customHeight="1">
      <c r="A69" s="614" t="s">
        <v>73</v>
      </c>
      <c r="B69" s="200" t="s">
        <v>20</v>
      </c>
      <c r="C69" s="660" t="s">
        <v>39</v>
      </c>
      <c r="D69" s="660"/>
      <c r="E69" s="27">
        <v>19.02</v>
      </c>
      <c r="F69" s="200">
        <v>4681</v>
      </c>
      <c r="G69" s="192">
        <f t="shared" si="45"/>
        <v>89032.62</v>
      </c>
      <c r="H69" s="31" t="s">
        <v>40</v>
      </c>
      <c r="I69" s="198">
        <v>14</v>
      </c>
      <c r="J69" s="29">
        <v>2400</v>
      </c>
      <c r="K69" s="12">
        <f t="shared" ref="K69:K71" si="49">J69/I69</f>
        <v>171.42857142857142</v>
      </c>
      <c r="L69" s="198">
        <v>14</v>
      </c>
      <c r="M69" s="13">
        <f t="shared" si="46"/>
        <v>2283.4146341463406</v>
      </c>
      <c r="N69" s="12">
        <f t="shared" ref="N69:N71" si="50">M69/L69</f>
        <v>163.1010452961672</v>
      </c>
      <c r="O69" s="14">
        <f t="shared" ref="O69:O71" si="51">L69-I69</f>
        <v>0</v>
      </c>
      <c r="P69" s="15">
        <f t="shared" ref="P69:P71" si="52">N69-K69</f>
        <v>-8.3275261324042162</v>
      </c>
      <c r="Q69" s="191">
        <f t="shared" ref="Q69:Q71" si="53">N69/K69</f>
        <v>0.95142276422764205</v>
      </c>
      <c r="R69" s="616"/>
      <c r="S69" s="32">
        <v>0.54722222222222217</v>
      </c>
      <c r="T69" s="32">
        <v>0.63263888888888886</v>
      </c>
      <c r="U69" s="192">
        <f t="shared" si="48"/>
        <v>54.999999999999964</v>
      </c>
      <c r="V69" s="199">
        <f t="shared" si="47"/>
        <v>123.00000000000004</v>
      </c>
      <c r="W69" s="16"/>
      <c r="X69" s="16"/>
      <c r="Y69" s="16"/>
      <c r="Z69" s="16"/>
      <c r="AA69" s="612"/>
      <c r="AB69" s="612"/>
      <c r="AC69" s="18"/>
      <c r="AD69" s="18"/>
      <c r="AE69" s="14">
        <f t="shared" si="43"/>
        <v>-116.58536585365937</v>
      </c>
      <c r="AF69" s="191">
        <f t="shared" ref="AF69:AF71" si="54">M69/J69</f>
        <v>0.95142276422764194</v>
      </c>
      <c r="AG69" s="616"/>
    </row>
    <row r="70" spans="1:33" ht="15.75" customHeight="1">
      <c r="A70" s="614" t="s">
        <v>832</v>
      </c>
      <c r="B70" s="200" t="s">
        <v>20</v>
      </c>
      <c r="C70" s="605" t="s">
        <v>739</v>
      </c>
      <c r="D70" s="606"/>
      <c r="E70" s="27">
        <v>28.29</v>
      </c>
      <c r="F70" s="200">
        <v>3266</v>
      </c>
      <c r="G70" s="192">
        <f t="shared" si="45"/>
        <v>92395.14</v>
      </c>
      <c r="H70" s="31" t="s">
        <v>40</v>
      </c>
      <c r="I70" s="198">
        <v>21</v>
      </c>
      <c r="J70" s="29">
        <v>2400</v>
      </c>
      <c r="K70" s="12">
        <f t="shared" si="49"/>
        <v>114.28571428571429</v>
      </c>
      <c r="L70" s="198">
        <v>21</v>
      </c>
      <c r="M70" s="13">
        <f t="shared" si="46"/>
        <v>2305.411764705882</v>
      </c>
      <c r="N70" s="12">
        <f t="shared" si="50"/>
        <v>109.781512605042</v>
      </c>
      <c r="O70" s="14">
        <f t="shared" si="51"/>
        <v>0</v>
      </c>
      <c r="P70" s="15">
        <f t="shared" si="52"/>
        <v>-4.5042016806722955</v>
      </c>
      <c r="Q70" s="191">
        <f t="shared" si="53"/>
        <v>0.96058823529411741</v>
      </c>
      <c r="R70" s="616"/>
      <c r="S70" s="32">
        <v>0.63680555555555551</v>
      </c>
      <c r="T70" s="32">
        <v>0.6958333333333333</v>
      </c>
      <c r="U70" s="192">
        <f t="shared" si="48"/>
        <v>5.9999999999999787</v>
      </c>
      <c r="V70" s="199">
        <f t="shared" si="47"/>
        <v>85.000000000000014</v>
      </c>
      <c r="W70" s="16"/>
      <c r="X70" s="16"/>
      <c r="Y70" s="19"/>
      <c r="Z70" s="19"/>
      <c r="AA70" s="607"/>
      <c r="AB70" s="608"/>
      <c r="AC70" s="18"/>
      <c r="AD70" s="18"/>
      <c r="AE70" s="14">
        <f t="shared" si="43"/>
        <v>-94.588235294118022</v>
      </c>
      <c r="AF70" s="191">
        <f t="shared" si="54"/>
        <v>0.96058823529411752</v>
      </c>
      <c r="AG70" s="616"/>
    </row>
    <row r="71" spans="1:33" ht="16.5" customHeight="1">
      <c r="A71" s="615" t="s">
        <v>831</v>
      </c>
      <c r="B71" s="27" t="s">
        <v>812</v>
      </c>
      <c r="C71" s="609"/>
      <c r="D71" s="610"/>
      <c r="E71" s="193"/>
      <c r="F71" s="28"/>
      <c r="G71" s="12"/>
      <c r="H71" s="200"/>
      <c r="I71" s="21">
        <v>17</v>
      </c>
      <c r="J71" s="29">
        <v>2400</v>
      </c>
      <c r="K71" s="12">
        <f t="shared" si="49"/>
        <v>141.1764705882353</v>
      </c>
      <c r="L71" s="21">
        <v>17</v>
      </c>
      <c r="M71" s="13">
        <f>AVERAGE(M64:M70)</f>
        <v>2294.4915121921044</v>
      </c>
      <c r="N71" s="12">
        <f t="shared" si="50"/>
        <v>134.97008895247674</v>
      </c>
      <c r="O71" s="14">
        <f t="shared" si="51"/>
        <v>0</v>
      </c>
      <c r="P71" s="15">
        <f t="shared" si="52"/>
        <v>-6.2063816357585608</v>
      </c>
      <c r="Q71" s="191">
        <f t="shared" si="53"/>
        <v>0.95603813008004357</v>
      </c>
      <c r="R71" s="616"/>
      <c r="S71" s="32"/>
      <c r="T71" s="32"/>
      <c r="U71" s="12"/>
      <c r="V71" s="199"/>
      <c r="W71" s="12"/>
      <c r="X71" s="12"/>
      <c r="Y71" s="22">
        <f>SUM(Y64:Y70)</f>
        <v>0</v>
      </c>
      <c r="Z71" s="22">
        <f>SUM(Z64:Z70)</f>
        <v>0</v>
      </c>
      <c r="AA71" s="611"/>
      <c r="AB71" s="611"/>
      <c r="AC71" s="22">
        <v>7</v>
      </c>
      <c r="AD71" s="22">
        <f>SUM(AD64:AD70)</f>
        <v>0</v>
      </c>
      <c r="AE71" s="14">
        <f t="shared" si="43"/>
        <v>-105.50848780789556</v>
      </c>
      <c r="AF71" s="191">
        <f t="shared" si="54"/>
        <v>0.95603813008004357</v>
      </c>
      <c r="AG71" s="616"/>
    </row>
    <row r="72" spans="1:33">
      <c r="D72" s="23"/>
      <c r="E72" s="23"/>
    </row>
  </sheetData>
  <mergeCells count="187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13:AG21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A22:A28"/>
    <mergeCell ref="C22:D22"/>
    <mergeCell ref="R22:R28"/>
    <mergeCell ref="AA22:AB22"/>
    <mergeCell ref="AA27:AB27"/>
    <mergeCell ref="A13:A21"/>
    <mergeCell ref="C13:D13"/>
    <mergeCell ref="R13:R21"/>
    <mergeCell ref="AA13:AB13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7"/>
    <mergeCell ref="C29:D29"/>
    <mergeCell ref="R29:R37"/>
    <mergeCell ref="AA29:AB29"/>
    <mergeCell ref="AA34:AB34"/>
    <mergeCell ref="C35:D35"/>
    <mergeCell ref="AA35:AB35"/>
    <mergeCell ref="C37:D37"/>
    <mergeCell ref="AA37:AB37"/>
    <mergeCell ref="AG38:AG45"/>
    <mergeCell ref="C39:D39"/>
    <mergeCell ref="AA39:AB39"/>
    <mergeCell ref="C40:D40"/>
    <mergeCell ref="AA40:AB40"/>
    <mergeCell ref="C44:D44"/>
    <mergeCell ref="AA44:AB44"/>
    <mergeCell ref="C45:D45"/>
    <mergeCell ref="AA45:AB45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46:A50"/>
    <mergeCell ref="C46:D46"/>
    <mergeCell ref="R46:R50"/>
    <mergeCell ref="AA46:AB46"/>
    <mergeCell ref="C41:D41"/>
    <mergeCell ref="AA41:AB41"/>
    <mergeCell ref="C42:D42"/>
    <mergeCell ref="AA42:AB42"/>
    <mergeCell ref="C43:D43"/>
    <mergeCell ref="AA43:AB43"/>
    <mergeCell ref="A38:A45"/>
    <mergeCell ref="C38:D38"/>
    <mergeCell ref="R38:R45"/>
    <mergeCell ref="AA38:AB38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A51:A58"/>
    <mergeCell ref="C51:D51"/>
    <mergeCell ref="R51:R58"/>
    <mergeCell ref="AA51:AB51"/>
    <mergeCell ref="AG51:AG58"/>
    <mergeCell ref="C52:D52"/>
    <mergeCell ref="AA52:AB52"/>
    <mergeCell ref="C53:D53"/>
    <mergeCell ref="AA53:AB53"/>
    <mergeCell ref="AA54:AB54"/>
    <mergeCell ref="AG59:AG63"/>
    <mergeCell ref="C60:D60"/>
    <mergeCell ref="AA60:AB60"/>
    <mergeCell ref="C61:D61"/>
    <mergeCell ref="AA61:AB61"/>
    <mergeCell ref="C62:D62"/>
    <mergeCell ref="AA55:AB55"/>
    <mergeCell ref="C56:D56"/>
    <mergeCell ref="AA56:AB56"/>
    <mergeCell ref="C57:D57"/>
    <mergeCell ref="AA57:AB57"/>
    <mergeCell ref="C58:D58"/>
    <mergeCell ref="AA58:AB58"/>
    <mergeCell ref="AA62:AB62"/>
    <mergeCell ref="C63:D63"/>
    <mergeCell ref="AA63:AB63"/>
    <mergeCell ref="A64:A71"/>
    <mergeCell ref="C64:D64"/>
    <mergeCell ref="R64:R71"/>
    <mergeCell ref="AA64:AB64"/>
    <mergeCell ref="AA69:AB69"/>
    <mergeCell ref="C70:D70"/>
    <mergeCell ref="AA70:AB70"/>
    <mergeCell ref="A59:A63"/>
    <mergeCell ref="C59:D59"/>
    <mergeCell ref="R59:R63"/>
    <mergeCell ref="AA59:AB59"/>
    <mergeCell ref="C71:D71"/>
    <mergeCell ref="AA71:AB71"/>
    <mergeCell ref="AG64:AG71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</mergeCells>
  <phoneticPr fontId="3" type="noConversion"/>
  <conditionalFormatting sqref="O62:O69 O58:O59 O71 O5:O8 O12:O14 O21:O56">
    <cfRule type="cellIs" dxfId="538" priority="56" operator="greaterThan">
      <formula>0</formula>
    </cfRule>
  </conditionalFormatting>
  <conditionalFormatting sqref="P5:P6 P62 AE62 P64:P69 P29:P36 P59 P8 P12:P14 P22:P27 P51:P56 P38:P49 AE5:AE59 AE64:AE71">
    <cfRule type="cellIs" dxfId="537" priority="60" operator="lessThan">
      <formula>0</formula>
    </cfRule>
  </conditionalFormatting>
  <conditionalFormatting sqref="AF62 Q62:Q69 Q58:Q59 Q71 Q5:Q8 Q12:Q14 Q21:Q56 AF5:AF59 AF64:AF71">
    <cfRule type="cellIs" dxfId="536" priority="57" operator="greaterThan">
      <formula>1</formula>
    </cfRule>
    <cfRule type="cellIs" dxfId="535" priority="58" operator="lessThan">
      <formula>0.8</formula>
    </cfRule>
  </conditionalFormatting>
  <conditionalFormatting sqref="AG13:AG14 R13:R14 AG62 R62:R69 AG58:AG59 R58:R59 R71 AG5:AG8 R5:R8 AG21:AG56 R21:R56">
    <cfRule type="cellIs" dxfId="534" priority="62" operator="lessThan">
      <formula>0.8</formula>
    </cfRule>
  </conditionalFormatting>
  <conditionalFormatting sqref="AG46">
    <cfRule type="cellIs" dxfId="533" priority="64" operator="lessThan">
      <formula>0.8</formula>
    </cfRule>
  </conditionalFormatting>
  <conditionalFormatting sqref="AG22:AG27">
    <cfRule type="cellIs" dxfId="532" priority="61" operator="lessThan">
      <formula>0.8</formula>
    </cfRule>
  </conditionalFormatting>
  <conditionalFormatting sqref="AG29">
    <cfRule type="cellIs" dxfId="531" priority="63" operator="lessThan">
      <formula>0.8</formula>
    </cfRule>
  </conditionalFormatting>
  <conditionalFormatting sqref="AG38:AG44">
    <cfRule type="cellIs" dxfId="530" priority="59" operator="lessThan">
      <formula>0.8</formula>
    </cfRule>
  </conditionalFormatting>
  <conditionalFormatting sqref="AE63">
    <cfRule type="cellIs" dxfId="529" priority="55" operator="lessThan">
      <formula>0</formula>
    </cfRule>
  </conditionalFormatting>
  <conditionalFormatting sqref="AF63">
    <cfRule type="cellIs" dxfId="528" priority="53" operator="greaterThan">
      <formula>1</formula>
    </cfRule>
    <cfRule type="cellIs" dxfId="527" priority="54" operator="lessThan">
      <formula>0.8</formula>
    </cfRule>
  </conditionalFormatting>
  <conditionalFormatting sqref="O15:O16">
    <cfRule type="cellIs" dxfId="526" priority="48" operator="greaterThan">
      <formula>0</formula>
    </cfRule>
  </conditionalFormatting>
  <conditionalFormatting sqref="P15:P16">
    <cfRule type="cellIs" dxfId="525" priority="51" operator="lessThan">
      <formula>0</formula>
    </cfRule>
  </conditionalFormatting>
  <conditionalFormatting sqref="Q15:Q16">
    <cfRule type="cellIs" dxfId="524" priority="49" operator="greaterThan">
      <formula>1</formula>
    </cfRule>
    <cfRule type="cellIs" dxfId="523" priority="50" operator="lessThan">
      <formula>0.8</formula>
    </cfRule>
  </conditionalFormatting>
  <conditionalFormatting sqref="R15:R16 AG15:AG16">
    <cfRule type="cellIs" dxfId="522" priority="52" operator="lessThan">
      <formula>0.8</formula>
    </cfRule>
  </conditionalFormatting>
  <conditionalFormatting sqref="O9:O11">
    <cfRule type="cellIs" dxfId="521" priority="44" operator="greaterThan">
      <formula>0</formula>
    </cfRule>
  </conditionalFormatting>
  <conditionalFormatting sqref="P9:P11">
    <cfRule type="cellIs" dxfId="520" priority="47" operator="lessThan">
      <formula>0</formula>
    </cfRule>
  </conditionalFormatting>
  <conditionalFormatting sqref="Q9:Q11">
    <cfRule type="cellIs" dxfId="519" priority="45" operator="greaterThan">
      <formula>1</formula>
    </cfRule>
    <cfRule type="cellIs" dxfId="518" priority="46" operator="lessThan">
      <formula>0.8</formula>
    </cfRule>
  </conditionalFormatting>
  <conditionalFormatting sqref="O57">
    <cfRule type="cellIs" dxfId="517" priority="39" operator="greaterThan">
      <formula>0</formula>
    </cfRule>
  </conditionalFormatting>
  <conditionalFormatting sqref="P57">
    <cfRule type="cellIs" dxfId="516" priority="42" operator="lessThan">
      <formula>0</formula>
    </cfRule>
  </conditionalFormatting>
  <conditionalFormatting sqref="Q57">
    <cfRule type="cellIs" dxfId="515" priority="40" operator="greaterThan">
      <formula>1</formula>
    </cfRule>
    <cfRule type="cellIs" dxfId="514" priority="41" operator="lessThan">
      <formula>0.8</formula>
    </cfRule>
  </conditionalFormatting>
  <conditionalFormatting sqref="R57 AG57">
    <cfRule type="cellIs" dxfId="513" priority="43" operator="lessThan">
      <formula>0.8</formula>
    </cfRule>
  </conditionalFormatting>
  <conditionalFormatting sqref="O61">
    <cfRule type="cellIs" dxfId="512" priority="34" operator="greaterThan">
      <formula>0</formula>
    </cfRule>
  </conditionalFormatting>
  <conditionalFormatting sqref="P61 AE61">
    <cfRule type="cellIs" dxfId="511" priority="37" operator="lessThan">
      <formula>0</formula>
    </cfRule>
  </conditionalFormatting>
  <conditionalFormatting sqref="Q61 AF61">
    <cfRule type="cellIs" dxfId="510" priority="35" operator="greaterThan">
      <formula>1</formula>
    </cfRule>
    <cfRule type="cellIs" dxfId="509" priority="36" operator="lessThan">
      <formula>0.8</formula>
    </cfRule>
  </conditionalFormatting>
  <conditionalFormatting sqref="R61 AG61">
    <cfRule type="cellIs" dxfId="508" priority="38" operator="lessThan">
      <formula>0.8</formula>
    </cfRule>
  </conditionalFormatting>
  <conditionalFormatting sqref="O70">
    <cfRule type="cellIs" dxfId="507" priority="29" operator="greaterThan">
      <formula>0</formula>
    </cfRule>
  </conditionalFormatting>
  <conditionalFormatting sqref="P70">
    <cfRule type="cellIs" dxfId="506" priority="32" operator="lessThan">
      <formula>0</formula>
    </cfRule>
  </conditionalFormatting>
  <conditionalFormatting sqref="Q70">
    <cfRule type="cellIs" dxfId="505" priority="30" operator="greaterThan">
      <formula>1</formula>
    </cfRule>
    <cfRule type="cellIs" dxfId="504" priority="31" operator="lessThan">
      <formula>0.8</formula>
    </cfRule>
  </conditionalFormatting>
  <conditionalFormatting sqref="R70">
    <cfRule type="cellIs" dxfId="503" priority="33" operator="lessThan">
      <formula>0.8</formula>
    </cfRule>
  </conditionalFormatting>
  <conditionalFormatting sqref="O17:O18">
    <cfRule type="cellIs" dxfId="502" priority="24" operator="greaterThan">
      <formula>0</formula>
    </cfRule>
  </conditionalFormatting>
  <conditionalFormatting sqref="P17:P18">
    <cfRule type="cellIs" dxfId="501" priority="27" operator="lessThan">
      <formula>0</formula>
    </cfRule>
  </conditionalFormatting>
  <conditionalFormatting sqref="Q17:Q18">
    <cfRule type="cellIs" dxfId="500" priority="25" operator="greaterThan">
      <formula>1</formula>
    </cfRule>
    <cfRule type="cellIs" dxfId="499" priority="26" operator="lessThan">
      <formula>0.8</formula>
    </cfRule>
  </conditionalFormatting>
  <conditionalFormatting sqref="R17:R18 AG17:AG18">
    <cfRule type="cellIs" dxfId="498" priority="28" operator="lessThan">
      <formula>0.8</formula>
    </cfRule>
  </conditionalFormatting>
  <conditionalFormatting sqref="O60">
    <cfRule type="cellIs" dxfId="497" priority="19" operator="greaterThan">
      <formula>0</formula>
    </cfRule>
  </conditionalFormatting>
  <conditionalFormatting sqref="P60 AE60">
    <cfRule type="cellIs" dxfId="496" priority="22" operator="lessThan">
      <formula>0</formula>
    </cfRule>
  </conditionalFormatting>
  <conditionalFormatting sqref="Q60 AF60">
    <cfRule type="cellIs" dxfId="495" priority="20" operator="greaterThan">
      <formula>1</formula>
    </cfRule>
    <cfRule type="cellIs" dxfId="494" priority="21" operator="lessThan">
      <formula>0.8</formula>
    </cfRule>
  </conditionalFormatting>
  <conditionalFormatting sqref="R60 AG60">
    <cfRule type="cellIs" dxfId="493" priority="23" operator="lessThan">
      <formula>0.8</formula>
    </cfRule>
  </conditionalFormatting>
  <conditionalFormatting sqref="O19">
    <cfRule type="cellIs" dxfId="492" priority="14" operator="greaterThan">
      <formula>0</formula>
    </cfRule>
  </conditionalFormatting>
  <conditionalFormatting sqref="P19">
    <cfRule type="cellIs" dxfId="491" priority="17" operator="lessThan">
      <formula>0</formula>
    </cfRule>
  </conditionalFormatting>
  <conditionalFormatting sqref="Q19">
    <cfRule type="cellIs" dxfId="490" priority="15" operator="greaterThan">
      <formula>1</formula>
    </cfRule>
    <cfRule type="cellIs" dxfId="489" priority="16" operator="lessThan">
      <formula>0.8</formula>
    </cfRule>
  </conditionalFormatting>
  <conditionalFormatting sqref="AG19 R19">
    <cfRule type="cellIs" dxfId="488" priority="18" operator="lessThan">
      <formula>0.8</formula>
    </cfRule>
  </conditionalFormatting>
  <conditionalFormatting sqref="O20">
    <cfRule type="cellIs" dxfId="487" priority="9" operator="greaterThan">
      <formula>0</formula>
    </cfRule>
  </conditionalFormatting>
  <conditionalFormatting sqref="P20">
    <cfRule type="cellIs" dxfId="486" priority="12" operator="lessThan">
      <formula>0</formula>
    </cfRule>
  </conditionalFormatting>
  <conditionalFormatting sqref="Q20">
    <cfRule type="cellIs" dxfId="485" priority="10" operator="greaterThan">
      <formula>1</formula>
    </cfRule>
    <cfRule type="cellIs" dxfId="484" priority="11" operator="lessThan">
      <formula>0.8</formula>
    </cfRule>
  </conditionalFormatting>
  <conditionalFormatting sqref="AG20 R20">
    <cfRule type="cellIs" dxfId="483" priority="13" operator="lessThan">
      <formula>0.8</formula>
    </cfRule>
  </conditionalFormatting>
  <conditionalFormatting sqref="P7">
    <cfRule type="cellIs" dxfId="482" priority="8" operator="lessThan">
      <formula>0</formula>
    </cfRule>
  </conditionalFormatting>
  <conditionalFormatting sqref="P21">
    <cfRule type="cellIs" dxfId="481" priority="7" operator="lessThan">
      <formula>0</formula>
    </cfRule>
  </conditionalFormatting>
  <conditionalFormatting sqref="P28">
    <cfRule type="cellIs" dxfId="480" priority="6" operator="lessThan">
      <formula>0</formula>
    </cfRule>
  </conditionalFormatting>
  <conditionalFormatting sqref="P37">
    <cfRule type="cellIs" dxfId="479" priority="5" operator="lessThan">
      <formula>0</formula>
    </cfRule>
  </conditionalFormatting>
  <conditionalFormatting sqref="P50">
    <cfRule type="cellIs" dxfId="478" priority="4" operator="lessThan">
      <formula>0</formula>
    </cfRule>
  </conditionalFormatting>
  <conditionalFormatting sqref="P58">
    <cfRule type="cellIs" dxfId="477" priority="3" operator="lessThan">
      <formula>0</formula>
    </cfRule>
  </conditionalFormatting>
  <conditionalFormatting sqref="P63">
    <cfRule type="cellIs" dxfId="476" priority="2" operator="lessThan">
      <formula>0</formula>
    </cfRule>
  </conditionalFormatting>
  <conditionalFormatting sqref="P71">
    <cfRule type="cellIs" dxfId="475" priority="1" operator="lessThan">
      <formula>0</formula>
    </cfRule>
  </conditionalFormatting>
  <dataValidations count="1">
    <dataValidation type="list" allowBlank="1" showInputMessage="1" showErrorMessage="1" sqref="AB7 AA5:AB6 AA7:AA62 AB9:AB59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631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632</v>
      </c>
      <c r="C3" s="594" t="str">
        <f>TEXT('0707 4度C'!A2,"yyyy.mm.ddaaaa")</f>
        <v>2026.07.07星期二</v>
      </c>
      <c r="D3" s="595"/>
      <c r="E3" s="36" t="s">
        <v>633</v>
      </c>
      <c r="F3" s="596">
        <f>'0707 4度C'!D1</f>
        <v>200530</v>
      </c>
      <c r="G3" s="597"/>
      <c r="H3" s="36" t="s">
        <v>634</v>
      </c>
      <c r="I3" s="598">
        <f>'0707 4度C'!F1</f>
        <v>6902712.8200000003</v>
      </c>
      <c r="J3" s="599"/>
      <c r="K3" s="37"/>
      <c r="L3" s="38"/>
      <c r="M3" s="39"/>
      <c r="N3" s="39"/>
    </row>
    <row r="4" spans="2:17" ht="28.5" customHeight="1">
      <c r="B4" s="600" t="s">
        <v>635</v>
      </c>
      <c r="C4" s="586" t="s">
        <v>636</v>
      </c>
      <c r="D4" s="587"/>
      <c r="E4" s="603" t="s">
        <v>637</v>
      </c>
      <c r="F4" s="604"/>
      <c r="G4" s="603" t="s">
        <v>638</v>
      </c>
      <c r="H4" s="604"/>
      <c r="I4" s="603" t="s">
        <v>639</v>
      </c>
      <c r="J4" s="604"/>
      <c r="K4" s="584" t="s">
        <v>640</v>
      </c>
      <c r="L4" s="585"/>
      <c r="M4" s="585" t="s">
        <v>641</v>
      </c>
      <c r="N4" s="585"/>
    </row>
    <row r="5" spans="2:17" ht="28.5" customHeight="1">
      <c r="B5" s="601"/>
      <c r="C5" s="586" t="s">
        <v>642</v>
      </c>
      <c r="D5" s="587"/>
      <c r="E5" s="586" t="s">
        <v>643</v>
      </c>
      <c r="F5" s="587"/>
      <c r="G5" s="588" t="s">
        <v>644</v>
      </c>
      <c r="H5" s="589"/>
      <c r="I5" s="590" t="s">
        <v>645</v>
      </c>
      <c r="J5" s="591"/>
      <c r="K5" s="40" t="s">
        <v>646</v>
      </c>
      <c r="L5" s="41" t="s">
        <v>647</v>
      </c>
      <c r="M5" s="40" t="s">
        <v>646</v>
      </c>
      <c r="N5" s="41" t="s">
        <v>648</v>
      </c>
    </row>
    <row r="6" spans="2:17" ht="28.5" customHeight="1">
      <c r="B6" s="601"/>
      <c r="C6" s="586" t="s">
        <v>41</v>
      </c>
      <c r="D6" s="587"/>
      <c r="E6" s="578">
        <f>AVERAGE(D13:M13)</f>
        <v>156.1711866038242</v>
      </c>
      <c r="F6" s="579">
        <f>AVERAGE(D31:O31,D13:J13)</f>
        <v>165.24655309149753</v>
      </c>
      <c r="G6" s="580">
        <f>AVERAGE(D13:J13)</f>
        <v>165.24655309149753</v>
      </c>
      <c r="H6" s="581"/>
      <c r="I6" s="580">
        <f>AVERAGE(K13:M13)</f>
        <v>134.99533146591969</v>
      </c>
      <c r="J6" s="581"/>
      <c r="K6" s="582">
        <f>'0707 4度C'!Y2</f>
        <v>0</v>
      </c>
      <c r="L6" s="567">
        <f>'0707 4度C'!Z2</f>
        <v>0</v>
      </c>
      <c r="M6" s="583">
        <f>'0707 4度C'!AC2</f>
        <v>57</v>
      </c>
      <c r="N6" s="567">
        <f>'0707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149.54911904923279</v>
      </c>
      <c r="F7" s="571">
        <f>AVERAGE(D32:O32,D14:J14)</f>
        <v>158.34626072841215</v>
      </c>
      <c r="G7" s="572">
        <f>AVERAGE(D14:J14)</f>
        <v>158.34626072841215</v>
      </c>
      <c r="H7" s="573"/>
      <c r="I7" s="572">
        <f>AVERAGE(K14:M14)</f>
        <v>129.02245513114752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0.95746545679492789</v>
      </c>
      <c r="F8" s="575">
        <f>AVERAGE(D15:J15,D33:O33)</f>
        <v>0.95819891067950702</v>
      </c>
      <c r="G8" s="576">
        <f>AVERAGE(D15:J15)</f>
        <v>0.95819891067950702</v>
      </c>
      <c r="H8" s="577"/>
      <c r="I8" s="576">
        <f>AVERAGE(K15:M15)</f>
        <v>0.95575406439757671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649</v>
      </c>
      <c r="N9" s="39"/>
      <c r="O9" s="39"/>
      <c r="P9" s="39"/>
      <c r="Q9" s="39"/>
    </row>
    <row r="10" spans="2:17" ht="30" customHeight="1">
      <c r="B10" s="550" t="s">
        <v>306</v>
      </c>
      <c r="C10" s="551"/>
      <c r="D10" s="552" t="s">
        <v>650</v>
      </c>
      <c r="E10" s="553"/>
      <c r="F10" s="553"/>
      <c r="G10" s="553"/>
      <c r="H10" s="553"/>
      <c r="I10" s="553"/>
      <c r="J10" s="554"/>
      <c r="K10" s="555" t="s">
        <v>651</v>
      </c>
      <c r="L10" s="556"/>
      <c r="M10" s="557"/>
      <c r="P10" s="45"/>
      <c r="Q10" s="45"/>
    </row>
    <row r="11" spans="2:17" ht="17.25" customHeight="1">
      <c r="B11" s="558" t="s">
        <v>652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653</v>
      </c>
      <c r="C13" s="52" t="s">
        <v>654</v>
      </c>
      <c r="D13" s="53">
        <f>SUMIFS('0707 4度C'!$K:$K,'0707 4度C'!$A:$A,"新豐6線",'0707 4度C'!$B:$B,"平均")</f>
        <v>129.03225806451613</v>
      </c>
      <c r="E13" s="54">
        <f>SUMIFS('0707 4度C'!$K:$K,'0707 4度C'!$A:$A,"新豐2線",'0707 4度C'!$B:$B,"平均")</f>
        <v>88.235294117647058</v>
      </c>
      <c r="F13" s="55">
        <f>SUMIFS('0707 4度C'!$K:$K,'0707 4度C'!$A:$A,"新豐5線",'0707 4度C'!$B:$B,"平均")</f>
        <v>84.415584415584419</v>
      </c>
      <c r="G13" s="55">
        <f>SUMIFS('0707 4度C'!$K:$K,'0707 4度C'!$A:$A,"新豐7線",'0707 4度C'!$B:$B,"平均")</f>
        <v>119.99999999999999</v>
      </c>
      <c r="H13" s="55">
        <f>SUMIFS('0707 4度C'!$K:$K,'0707 4度C'!$A:$A,"新豐3線",'0707 4度C'!$B:$B,"平均")</f>
        <v>307.69230769230768</v>
      </c>
      <c r="I13" s="55">
        <f>SUMIFS('0707 4度C'!$K:$K,'0707 4度C'!$A:$A,"新豐1線",'0707 4度C'!$B:$B,"平均")</f>
        <v>119.65811965811965</v>
      </c>
      <c r="J13" s="56">
        <f>SUMIFS('0707 4度C'!$K:$K,'0707 4度C'!$A:$A,"新豐10線",'0707 4度C'!$B:$B,"平均")</f>
        <v>307.69230769230768</v>
      </c>
      <c r="K13" s="57">
        <f>SUMIFS('0707 4度C'!$K:$K,'0707 4度C'!$A:$A,"新豐8線",'0707 4度C'!$B:$B,"平均")</f>
        <v>137.14285714285714</v>
      </c>
      <c r="L13" s="58">
        <f>SUMIFS('0707 4度C'!$K:$K,'0707 4度C'!$A:$A,"新豐9線",'0707 4度C'!$B:$B,"平均")</f>
        <v>126.66666666666667</v>
      </c>
      <c r="M13" s="56">
        <f>SUMIFS('0707 4度C'!$K:$K,'0707 4度C'!$A:$A,"新豐4線",'0707 4度C'!$B:$B,"平均")</f>
        <v>141.1764705882353</v>
      </c>
    </row>
    <row r="14" spans="2:17" ht="39.6" customHeight="1">
      <c r="B14" s="563"/>
      <c r="C14" s="59" t="s">
        <v>655</v>
      </c>
      <c r="D14" s="60">
        <f>SUMIFS('0707 4度C'!$N:$N,'0707 4度C'!$A:$A,"新豐6線",'0707 4度C'!$B:$B,"平均")</f>
        <v>123.54301846623777</v>
      </c>
      <c r="E14" s="61">
        <f>SUMIFS('0707 4度C'!$N:$N,'0707 4度C'!$A:$A,"新豐2線",'0707 4度C'!$B:$B,"平均")</f>
        <v>84.266537873347289</v>
      </c>
      <c r="F14" s="61">
        <f>SUMIFS('0707 4度C'!$N:$N,'0707 4度C'!$A:$A,"新豐5線",'0707 4度C'!$B:$B,"平均")</f>
        <v>80.837615112498042</v>
      </c>
      <c r="G14" s="61">
        <f>SUMIFS('0707 4度C'!$N:$N,'0707 4度C'!$A:$A,"新豐7線",'0707 4度C'!$B:$B,"平均")</f>
        <v>115.34238667426656</v>
      </c>
      <c r="H14" s="61">
        <f>SUMIFS('0707 4度C'!$N:$N,'0707 4度C'!$A:$A,"新豐3線",'0707 4度C'!$B:$B,"平均")</f>
        <v>294.47487644361195</v>
      </c>
      <c r="I14" s="61">
        <f>SUMIFS('0707 4度C'!$N:$N,'0707 4度C'!$A:$A,"新豐1線",'0707 4度C'!$B:$B,"平均")</f>
        <v>114.87841382772194</v>
      </c>
      <c r="J14" s="62">
        <f>SUMIFS('0707 4度C'!$N:$N,'0707 4度C'!$A:$A,"新豐10線",'0707 4度C'!$B:$B,"平均")</f>
        <v>295.08097670120162</v>
      </c>
      <c r="K14" s="63">
        <f>SUMIFS('0707 4度C'!$N:$N,'0707 4度C'!$A:$A,"新豐8線",'0707 4度C'!$B:$B,"平均")</f>
        <v>131.19891416982878</v>
      </c>
      <c r="L14" s="64">
        <f>SUMIFS('0707 4度C'!$N:$N,'0707 4度C'!$A:$A,"新豐9線",'0707 4度C'!$B:$B,"平均")</f>
        <v>121.0272244025182</v>
      </c>
      <c r="M14" s="62">
        <f>SUMIFS('0707 4度C'!$N:$N,'0707 4度C'!$A:$A,"新豐4線",'0707 4度C'!$B:$B,"平均")</f>
        <v>134.84122682109557</v>
      </c>
    </row>
    <row r="15" spans="2:17" ht="40.15" customHeight="1">
      <c r="B15" s="564"/>
      <c r="C15" s="65" t="s">
        <v>656</v>
      </c>
      <c r="D15" s="66">
        <f t="shared" ref="D15:M15" si="0">D14/D13</f>
        <v>0.95745839311334269</v>
      </c>
      <c r="E15" s="67">
        <f t="shared" si="0"/>
        <v>0.95502076256460267</v>
      </c>
      <c r="F15" s="67">
        <f t="shared" si="0"/>
        <v>0.9576148251788229</v>
      </c>
      <c r="G15" s="67">
        <f t="shared" si="0"/>
        <v>0.96118655561888811</v>
      </c>
      <c r="H15" s="67">
        <f t="shared" si="0"/>
        <v>0.95704334844173888</v>
      </c>
      <c r="I15" s="67">
        <f t="shared" si="0"/>
        <v>0.96005531556024781</v>
      </c>
      <c r="J15" s="68">
        <f t="shared" si="0"/>
        <v>0.95901317427890531</v>
      </c>
      <c r="K15" s="66">
        <f t="shared" si="0"/>
        <v>0.9566587491550016</v>
      </c>
      <c r="L15" s="67">
        <f t="shared" si="0"/>
        <v>0.95547808738830153</v>
      </c>
      <c r="M15" s="68">
        <f t="shared" si="0"/>
        <v>0.95512535664942688</v>
      </c>
    </row>
    <row r="16" spans="2:17" ht="17.25" customHeight="1">
      <c r="B16" s="565" t="s">
        <v>657</v>
      </c>
      <c r="C16" s="69" t="s">
        <v>658</v>
      </c>
      <c r="D16" s="70">
        <f>VLOOKUP("新豐6線",'0707 4度C'!$A:$T,19,0)</f>
        <v>0.70833333333333337</v>
      </c>
      <c r="E16" s="71">
        <f>VLOOKUP("新豐2線",'0707 4度C'!$A:$T,19,0)</f>
        <v>8.3333333333333329E-2</v>
      </c>
      <c r="F16" s="71">
        <f>VLOOKUP("新豐5線",'0707 4度C'!$A:$T,19,0)</f>
        <v>8.3333333333333329E-2</v>
      </c>
      <c r="G16" s="71">
        <f>VLOOKUP("新豐7線",'0707 4度C'!$A:$T,19,0)</f>
        <v>0.20833333333333334</v>
      </c>
      <c r="H16" s="71">
        <f>VLOOKUP("新豐3線",'0707 4度C'!$A:$T,19,0)</f>
        <v>0.20833333333333334</v>
      </c>
      <c r="I16" s="71">
        <f>VLOOKUP("新豐1線",'0707 4度C'!$A:$T,19,0)</f>
        <v>0.20833333333333334</v>
      </c>
      <c r="J16" s="72">
        <f>VLOOKUP("新豐10線",'0707 4度C'!$A:$T,19,0)</f>
        <v>0.20833333333333334</v>
      </c>
      <c r="K16" s="73">
        <f>VLOOKUP("新豐8線",'0707 4度C'!$A:$T,19,0)</f>
        <v>8.3333333333333329E-2</v>
      </c>
      <c r="L16" s="74">
        <f>VLOOKUP("新豐9線",'0707 4度C'!$A:$T,19,0)</f>
        <v>8.3333333333333329E-2</v>
      </c>
      <c r="M16" s="75">
        <f>VLOOKUP("新豐4線",'0707 4度C'!$A:$T,19,0)</f>
        <v>8.3333333333333329E-2</v>
      </c>
    </row>
    <row r="17" spans="2:13" ht="17.25" customHeight="1">
      <c r="B17" s="566"/>
      <c r="C17" s="69" t="s">
        <v>659</v>
      </c>
      <c r="D17" s="73">
        <f>LOOKUP(2,1/(('0707 4度C'!$A:$A="新豐6線")*('0707 4度C'!$T:$T&lt;&gt;"")),'0707 4度C'!$T:$T)</f>
        <v>0.82777777777777783</v>
      </c>
      <c r="E17" s="71">
        <f>LOOKUP(2,1/(('0707 4度C'!$A:$A="新豐2線")*('0707 4度C'!$T:$T&lt;&gt;"")),'0707 4度C'!$T:$T)</f>
        <v>0.63888888888888884</v>
      </c>
      <c r="F17" s="71">
        <f>LOOKUP(2,1/(('0707 4度C'!$A:$A="新豐5線")*('0707 4度C'!$T:$T&lt;&gt;"")),'0707 4度C'!$T:$T)</f>
        <v>0.95138888888888873</v>
      </c>
      <c r="G17" s="71">
        <f>LOOKUP(2,1/(('0707 4度C'!$A:$A="新豐7線")*('0707 4度C'!$T:$T&lt;&gt;"")),'0707 4度C'!$T:$T)</f>
        <v>0.83263888888888893</v>
      </c>
      <c r="H17" s="71">
        <f>LOOKUP(2,1/(('0707 4度C'!$A:$A="新豐3線")*('0707 4度C'!$T:$T&lt;&gt;"")),'0707 4度C'!$T:$T)</f>
        <v>0.48749999999999999</v>
      </c>
      <c r="I17" s="71">
        <f>LOOKUP(2,1/(('0707 4度C'!$A:$A="新豐1線")*('0707 4度C'!$T:$T&lt;&gt;"")),'0707 4度C'!$T:$T)</f>
        <v>0.84513888888888888</v>
      </c>
      <c r="J17" s="72">
        <f>LOOKUP(2,1/(('0707 4度C'!$A:$A="新豐10線")*('0707 4度C'!$T:$T&lt;&gt;"")),'0707 4度C'!$T:$T)</f>
        <v>0.50694444444444442</v>
      </c>
      <c r="K17" s="70">
        <f>LOOKUP(2,1/(('0707 4度C'!$A:$A="新豐8線")*('0707 4度C'!$T:$T&lt;&gt;"")),'0707 4度C'!$T:$T)</f>
        <v>0.75694444444444442</v>
      </c>
      <c r="L17" s="71">
        <f>LOOKUP(2,1/(('0707 4度C'!$A:$A="新豐9線")*('0707 4度C'!$T:$T&lt;&gt;"")),'0707 4度C'!$T:$T)</f>
        <v>0.70833333333333337</v>
      </c>
      <c r="M17" s="72">
        <f>LOOKUP(2,1/(('0707 4度C'!$A:$A="新豐4線")*('0707 4度C'!$T:$T&lt;&gt;"")),'0707 4度C'!$T:$T)</f>
        <v>0.74791666666666656</v>
      </c>
    </row>
    <row r="18" spans="2:13" ht="17.25" customHeight="1">
      <c r="B18" s="544" t="s">
        <v>660</v>
      </c>
      <c r="C18" s="76" t="s">
        <v>661</v>
      </c>
      <c r="D18" s="77">
        <f>SUMIFS('0707 4度C'!$Y:$Y,'0707 4度C'!$A:$A,"新豐6線",'0707 4度C'!$B:$B,"平均")</f>
        <v>0</v>
      </c>
      <c r="E18" s="78">
        <f>SUMIFS('0707 4度C'!$Y:$Y,'0707 4度C'!$A:$A,"新豐2線",'0707 4度C'!$B:$B,"平均")</f>
        <v>0</v>
      </c>
      <c r="F18" s="78">
        <f>SUMIFS('0707 4度C'!$Y:$Y,'0707 4度C'!$A:$A,"新豐5線",'0707 4度C'!$B:$B,"平均")</f>
        <v>0</v>
      </c>
      <c r="G18" s="78">
        <f>SUMIFS('0707 4度C'!$Y:$Y,'0707 4度C'!$A:$A,"新豐7線",'0707 4度C'!$B:$B,"平均")</f>
        <v>0</v>
      </c>
      <c r="H18" s="78">
        <f>SUMIFS('0707 4度C'!$Y:$Y,'0707 4度C'!$A:$A,"新豐3線",'0707 4度C'!$B:$B,"平均")</f>
        <v>0</v>
      </c>
      <c r="I18" s="78">
        <f>SUMIFS('0707 4度C'!$Y:$Y,'0707 4度C'!$A:$A,"新豐1線",'0707 4度C'!$B:$B,"平均")</f>
        <v>0</v>
      </c>
      <c r="J18" s="79">
        <f>SUMIFS('0707 4度C'!$Y:$Y,'0707 4度C'!$A:$A,"新豐10線",'0707 4度C'!$B:$B,"平均")</f>
        <v>0</v>
      </c>
      <c r="K18" s="80">
        <f>SUMIFS('0707 4度C'!$Y:$Y,'0707 4度C'!$A:$A,"新豐8線",'0707 4度C'!$B:$B,"平均")</f>
        <v>0</v>
      </c>
      <c r="L18" s="78">
        <f>SUMIFS('0707 4度C'!$Y:$Y,'0707 4度C'!$A:$A,"新豐9線",'0707 4度C'!$B:$B,"平均")</f>
        <v>0</v>
      </c>
      <c r="M18" s="79">
        <f>SUMIFS('0707 4度C'!$Y:$Y,'0707 4度C'!$A:$A,"新豐4線",'0707 4度C'!$B:$B,"平均")</f>
        <v>0</v>
      </c>
    </row>
    <row r="19" spans="2:13" ht="17.25" customHeight="1">
      <c r="B19" s="545"/>
      <c r="C19" s="76" t="s">
        <v>662</v>
      </c>
      <c r="D19" s="77">
        <f>SUMIFS('0707 4度C'!$Z:$Z,'0707 4度C'!$A:$A,"新豐6線",'0707 4度C'!$B:$B,"平均")</f>
        <v>0</v>
      </c>
      <c r="E19" s="78">
        <f>SUMIFS('0707 4度C'!$Z:$Z,'0707 4度C'!$A:$A,"新豐2線",'0707 4度C'!$B:$B,"平均")</f>
        <v>0</v>
      </c>
      <c r="F19" s="78">
        <f>SUMIFS('0707 4度C'!$Z:$Z,'0707 4度C'!$A:$A,"新豐5線",'0707 4度C'!$B:$B,"平均")</f>
        <v>0</v>
      </c>
      <c r="G19" s="78">
        <f>SUMIFS('0707 4度C'!$Z:$Z,'0707 4度C'!$A:$A,"新豐7線",'0707 4度C'!$B:$B,"平均")</f>
        <v>0</v>
      </c>
      <c r="H19" s="78">
        <f>SUMIFS('0707 4度C'!$Z:$Z,'0707 4度C'!$A:$A,"新豐3線",'0707 4度C'!$B:$B,"平均")</f>
        <v>0</v>
      </c>
      <c r="I19" s="78">
        <f>SUMIFS('0707 4度C'!$Z:$Z,'0707 4度C'!$A:$A,"新豐1線",'0707 4度C'!$B:$B,"平均")</f>
        <v>0</v>
      </c>
      <c r="J19" s="79">
        <f>SUMIFS('0707 4度C'!$Z:$Z,'0707 4度C'!$A:$A,"新豐10線",'0707 4度C'!$B:$B,"平均")</f>
        <v>0</v>
      </c>
      <c r="K19" s="80">
        <f>SUMIFS('0707 4度C'!$Z:$Z,'0707 4度C'!$A:$A,"新豐8線",'0707 4度C'!$B:$B,"平均")</f>
        <v>0</v>
      </c>
      <c r="L19" s="78">
        <f>SUMIFS('0707 4度C'!$Z:$Z,'0707 4度C'!$A:$A,"新豐9線",'0707 4度C'!$B:$B,"平均")</f>
        <v>0</v>
      </c>
      <c r="M19" s="79">
        <f>SUMIFS('0707 4度C'!$Z:$Z,'0707 4度C'!$A:$A,"新豐4線",'0707 4度C'!$B:$B,"平均")</f>
        <v>0</v>
      </c>
    </row>
    <row r="20" spans="2:13" ht="17.25" customHeight="1">
      <c r="B20" s="544" t="s">
        <v>663</v>
      </c>
      <c r="C20" s="76" t="s">
        <v>664</v>
      </c>
      <c r="D20" s="77">
        <f>SUMIFS('0707 4度C'!$AC:$AC,'0707 4度C'!$A:$A,"新豐6線",'0707 4度C'!$B:$B,"平均")</f>
        <v>2</v>
      </c>
      <c r="E20" s="78">
        <f>SUMIFS('0707 4度C'!$AC:$AC,'0707 4度C'!$A:$A,"新豐2線",'0707 4度C'!$B:$B,"平均")</f>
        <v>4</v>
      </c>
      <c r="F20" s="78">
        <f>SUMIFS('0707 4度C'!$AC:$AC,'0707 4度C'!$A:$A,"新豐5線",'0707 4度C'!$B:$B,"平均")</f>
        <v>8</v>
      </c>
      <c r="G20" s="78">
        <f>SUMIFS('0707 4度C'!$AC:$AC,'0707 4度C'!$A:$A,"新豐7線",'0707 4度C'!$B:$B,"平均")</f>
        <v>6</v>
      </c>
      <c r="H20" s="78">
        <f>SUMIFS('0707 4度C'!$AC:$AC,'0707 4度C'!$A:$A,"新豐3線",'0707 4度C'!$B:$B,"平均")</f>
        <v>4</v>
      </c>
      <c r="I20" s="78">
        <f>SUMIFS('0707 4度C'!$AC:$AC,'0707 4度C'!$A:$A,"新豐1線",'0707 4度C'!$B:$B,"平均")</f>
        <v>7</v>
      </c>
      <c r="J20" s="79">
        <f>SUMIFS('0707 4度C'!$AC:$AC,'0707 4度C'!$A:$A,"新豐10線",'0707 4度C'!$B:$B,"平均")</f>
        <v>4</v>
      </c>
      <c r="K20" s="80">
        <f>SUMIFS('0707 4度C'!$AC:$AC,'0707 4度C'!$A:$A,"新豐8線",'0707 4度C'!$B:$B,"平均")</f>
        <v>8</v>
      </c>
      <c r="L20" s="78">
        <f>SUMIFS('0707 4度C'!$AC:$AC,'0707 4度C'!$A:$A,"新豐9線",'0707 4度C'!$B:$B,"平均")</f>
        <v>7</v>
      </c>
      <c r="M20" s="79">
        <f>SUMIFS('0707 4度C'!$AC:$AC,'0707 4度C'!$A:$A,"新豐4線",'0707 4度C'!$B:$B,"平均")</f>
        <v>7</v>
      </c>
    </row>
    <row r="21" spans="2:13" ht="17.25" customHeight="1">
      <c r="B21" s="545"/>
      <c r="C21" s="76" t="s">
        <v>321</v>
      </c>
      <c r="D21" s="77">
        <f>SUMIFS('0707 4度C'!$AD:$AD,'0707 4度C'!$A:$A,"新豐6線",'0707 4度C'!$B:$B,"平均")</f>
        <v>0</v>
      </c>
      <c r="E21" s="78">
        <f>SUMIFS('0707 4度C'!$AD:$AD,'0707 4度C'!$A:$A,"新豐2線",'0707 4度C'!$B:$B,"平均")</f>
        <v>0</v>
      </c>
      <c r="F21" s="78">
        <f>SUMIFS('0707 4度C'!$AD:$AD,'0707 4度C'!$A:$A,"新豐5線",'0707 4度C'!$B:$B,"平均")</f>
        <v>0</v>
      </c>
      <c r="G21" s="78">
        <f>SUMIFS('0707 4度C'!$AD:$AD,'0707 4度C'!$A:$A,"新豐7線",'0707 4度C'!$B:$B,"平均")</f>
        <v>0</v>
      </c>
      <c r="H21" s="78">
        <f>SUMIFS('0707 4度C'!$AD:$AD,'0707 4度C'!$A:$A,"新豐3線",'0707 4度C'!$B:$B,"平均")</f>
        <v>0</v>
      </c>
      <c r="I21" s="78">
        <f>SUMIFS('0707 4度C'!$AD:$AD,'0707 4度C'!$A:$A,"新豐1線",'0707 4度C'!$B:$B,"平均")</f>
        <v>0</v>
      </c>
      <c r="J21" s="79">
        <f>SUMIFS('0707 4度C'!$AD:$AD,'0707 4度C'!$A:$A,"新豐10線",'0707 4度C'!$B:$B,"平均")</f>
        <v>0</v>
      </c>
      <c r="K21" s="80">
        <f>SUMIFS('0707 4度C'!$AD:$AD,'0707 4度C'!$A:$A,"新豐8線",'0707 4度C'!$B:$B,"平均")</f>
        <v>0</v>
      </c>
      <c r="L21" s="78">
        <f>SUMIFS('0707 4度C'!$AD:$AD,'0707 4度C'!$A:$A,"新豐9線",'0707 4度C'!$B:$B,"平均")</f>
        <v>0</v>
      </c>
      <c r="M21" s="79">
        <f>SUMIFS('0707 4度C'!$AD:$AD,'0707 4度C'!$A:$A,"新豐4線",'0707 4度C'!$B:$B,"平均")</f>
        <v>0</v>
      </c>
    </row>
    <row r="22" spans="2:13" ht="17.25" customHeight="1">
      <c r="B22" s="546" t="s">
        <v>665</v>
      </c>
      <c r="C22" s="547"/>
      <c r="D22" s="81">
        <f>SUMIFS('0707 4度C'!$I:$I,'0707 4度C'!$A:$A,"新豐6線",'0707 4度C'!$B:$B,"平均")</f>
        <v>15.5</v>
      </c>
      <c r="E22" s="82">
        <f>SUMIFS('0707 4度C'!$I:$I,'0707 4度C'!$A:$A,"新豐2線",'0707 4度C'!$B:$B,"平均")</f>
        <v>17</v>
      </c>
      <c r="F22" s="82">
        <f>SUMIFS('0707 4度C'!$I:$I,'0707 4度C'!$A:$A,"新豐5線",'0707 4度C'!$B:$B,"平均")</f>
        <v>19.25</v>
      </c>
      <c r="G22" s="82">
        <f>SUMIFS('0707 4度C'!$I:$I,'0707 4度C'!$A:$A,"新豐7線",'0707 4度C'!$B:$B,"平均")</f>
        <v>16.666666666666668</v>
      </c>
      <c r="H22" s="82">
        <f>SUMIFS('0707 4度C'!$I:$I,'0707 4度C'!$A:$A,"新豐3線",'0707 4度C'!$B:$B,"平均")</f>
        <v>9.75</v>
      </c>
      <c r="I22" s="82">
        <f>SUMIFS('0707 4度C'!$I:$I,'0707 4度C'!$A:$A,"新豐1線",'0707 4度C'!$B:$B,"平均")</f>
        <v>16.714285714285715</v>
      </c>
      <c r="J22" s="83">
        <f>SUMIFS('0707 4度C'!$I:$I,'0707 4度C'!$A:$A,"新豐10線",'0707 4度C'!$B:$B,"平均")</f>
        <v>9.75</v>
      </c>
      <c r="K22" s="81">
        <f>SUMIFS('0707 4度C'!$I:$I,'0707 4度C'!$A:$A,"新豐8線",'0707 4度C'!$B:$B,"平均")</f>
        <v>17.5</v>
      </c>
      <c r="L22" s="82">
        <f>SUMIFS('0707 4度C'!$I:$I,'0707 4度C'!$A:$A,"新豐9線",'0707 4度C'!$B:$B,"平均")</f>
        <v>17.142857142857142</v>
      </c>
      <c r="M22" s="83">
        <f>SUMIFS('0707 4度C'!$I:$I,'0707 4度C'!$A:$A,"新豐4線",'0707 4度C'!$B:$B,"平均")</f>
        <v>17</v>
      </c>
    </row>
    <row r="23" spans="2:13" ht="17.25" customHeight="1">
      <c r="B23" s="546" t="s">
        <v>666</v>
      </c>
      <c r="C23" s="547"/>
      <c r="D23" s="84" t="s">
        <v>54</v>
      </c>
      <c r="E23" s="85" t="s">
        <v>55</v>
      </c>
      <c r="F23" s="85" t="s">
        <v>667</v>
      </c>
      <c r="G23" s="85" t="s">
        <v>667</v>
      </c>
      <c r="H23" s="85" t="s">
        <v>56</v>
      </c>
      <c r="I23" s="85" t="s">
        <v>54</v>
      </c>
      <c r="J23" s="86" t="s">
        <v>56</v>
      </c>
      <c r="K23" s="84" t="s">
        <v>668</v>
      </c>
      <c r="L23" s="85" t="s">
        <v>669</v>
      </c>
      <c r="M23" s="86" t="s">
        <v>670</v>
      </c>
    </row>
    <row r="24" spans="2:13" ht="17.25" customHeight="1">
      <c r="B24" s="546" t="s">
        <v>671</v>
      </c>
      <c r="C24" s="547"/>
      <c r="D24" s="84"/>
      <c r="E24" s="85"/>
      <c r="F24" s="85" t="s">
        <v>672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234</v>
      </c>
      <c r="C25" s="549"/>
      <c r="D25" s="87"/>
      <c r="E25" s="88" t="s">
        <v>125</v>
      </c>
      <c r="F25" s="542" t="s">
        <v>673</v>
      </c>
      <c r="G25" s="543"/>
      <c r="H25" s="88" t="s">
        <v>127</v>
      </c>
      <c r="I25" s="88" t="s">
        <v>674</v>
      </c>
      <c r="J25" s="89" t="s">
        <v>675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7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D10" sqref="D10:J10"/>
      <selection pane="bottomLeft" activeCell="C10" sqref="C10:J10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676</v>
      </c>
      <c r="B1" s="1"/>
      <c r="C1" s="2" t="s">
        <v>677</v>
      </c>
      <c r="D1" s="3">
        <f>SUM(F5:F71)</f>
        <v>200530</v>
      </c>
      <c r="E1" s="182" t="s">
        <v>678</v>
      </c>
      <c r="F1" s="1">
        <f>SUM(G5:G71)</f>
        <v>6902712.8200000003</v>
      </c>
      <c r="G1" s="1" t="s">
        <v>679</v>
      </c>
      <c r="H1" s="4">
        <f>L7+L12+L50+L58+L21+L63+L37+L45+L28+L71</f>
        <v>156.27380952380952</v>
      </c>
      <c r="I1" s="654" t="s">
        <v>680</v>
      </c>
      <c r="J1" s="654"/>
      <c r="K1" s="654"/>
      <c r="L1" s="654" t="s">
        <v>681</v>
      </c>
      <c r="M1" s="654"/>
      <c r="N1" s="654"/>
      <c r="O1" s="654" t="s">
        <v>682</v>
      </c>
      <c r="P1" s="654"/>
      <c r="Q1" s="654"/>
      <c r="R1" s="654"/>
      <c r="S1" s="654" t="s">
        <v>683</v>
      </c>
      <c r="T1" s="654"/>
      <c r="U1" s="654"/>
      <c r="V1" s="654"/>
      <c r="W1" s="654"/>
      <c r="X1" s="654"/>
      <c r="Y1" s="5" t="s">
        <v>684</v>
      </c>
      <c r="Z1" s="6" t="s">
        <v>685</v>
      </c>
      <c r="AA1" s="655" t="s">
        <v>686</v>
      </c>
      <c r="AB1" s="655"/>
      <c r="AC1" s="134" t="s">
        <v>684</v>
      </c>
      <c r="AD1" s="6" t="s">
        <v>687</v>
      </c>
      <c r="AE1" s="654" t="s">
        <v>688</v>
      </c>
      <c r="AF1" s="656"/>
      <c r="AG1" s="656"/>
    </row>
    <row r="2" spans="1:33" ht="26.25" customHeight="1">
      <c r="A2" s="25">
        <v>46210</v>
      </c>
      <c r="B2" s="26" t="s">
        <v>689</v>
      </c>
      <c r="C2" s="2" t="s">
        <v>690</v>
      </c>
      <c r="D2" s="8">
        <f>AVERAGE(N7,N12,N50,N58,N21,N63,N28,N37,N45,N71)</f>
        <v>149.54911904923279</v>
      </c>
      <c r="E2" s="9" t="s">
        <v>0</v>
      </c>
      <c r="F2" s="10">
        <f>F1/D1</f>
        <v>34.422344886051967</v>
      </c>
      <c r="G2" s="1" t="s">
        <v>691</v>
      </c>
      <c r="H2" s="188">
        <f>COUNT(H5:H71)</f>
        <v>9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SUM(Y7+Y12+Y21+Y28+Y37+Y45+Y50+Y58+Y63+Y71)</f>
        <v>0</v>
      </c>
      <c r="Z2" s="11">
        <f>SUM(Z7+Z12+Z21+Z28+Z37+Z45+Z50+Z58+Z63+Z71)</f>
        <v>0</v>
      </c>
      <c r="AA2" s="655"/>
      <c r="AB2" s="655"/>
      <c r="AC2" s="135">
        <v>57</v>
      </c>
      <c r="AD2" s="11">
        <f>SUM(AD7+AD12+AD21+AD28+AD37+AD45+AD50+AD58+AD63+AD71)</f>
        <v>0</v>
      </c>
      <c r="AE2" s="656"/>
      <c r="AF2" s="656"/>
      <c r="AG2" s="656"/>
    </row>
    <row r="3" spans="1:33" ht="40.5" customHeight="1">
      <c r="A3" s="612" t="s">
        <v>692</v>
      </c>
      <c r="B3" s="612" t="s">
        <v>693</v>
      </c>
      <c r="C3" s="612" t="s">
        <v>694</v>
      </c>
      <c r="D3" s="612"/>
      <c r="E3" s="652" t="s">
        <v>695</v>
      </c>
      <c r="F3" s="612" t="s">
        <v>696</v>
      </c>
      <c r="G3" s="652" t="s">
        <v>697</v>
      </c>
      <c r="H3" s="645" t="s">
        <v>698</v>
      </c>
      <c r="I3" s="644" t="s">
        <v>699</v>
      </c>
      <c r="J3" s="641" t="s">
        <v>700</v>
      </c>
      <c r="K3" s="650" t="s">
        <v>690</v>
      </c>
      <c r="L3" s="644" t="s">
        <v>699</v>
      </c>
      <c r="M3" s="641" t="s">
        <v>700</v>
      </c>
      <c r="N3" s="650" t="s">
        <v>690</v>
      </c>
      <c r="O3" s="644" t="s">
        <v>699</v>
      </c>
      <c r="P3" s="650" t="s">
        <v>690</v>
      </c>
      <c r="Q3" s="642" t="s">
        <v>701</v>
      </c>
      <c r="R3" s="621" t="s">
        <v>702</v>
      </c>
      <c r="S3" s="651" t="s">
        <v>1</v>
      </c>
      <c r="T3" s="651"/>
      <c r="U3" s="645" t="s">
        <v>2</v>
      </c>
      <c r="V3" s="645" t="s">
        <v>703</v>
      </c>
      <c r="W3" s="612" t="s">
        <v>704</v>
      </c>
      <c r="X3" s="612"/>
      <c r="Y3" s="646" t="s">
        <v>705</v>
      </c>
      <c r="Z3" s="611"/>
      <c r="AA3" s="647" t="s">
        <v>706</v>
      </c>
      <c r="AB3" s="648"/>
      <c r="AC3" s="646" t="s">
        <v>707</v>
      </c>
      <c r="AD3" s="611"/>
      <c r="AE3" s="641" t="s">
        <v>700</v>
      </c>
      <c r="AF3" s="642" t="s">
        <v>708</v>
      </c>
      <c r="AG3" s="621" t="s">
        <v>709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87" t="s">
        <v>3</v>
      </c>
      <c r="T4" s="187" t="s">
        <v>4</v>
      </c>
      <c r="U4" s="645"/>
      <c r="V4" s="645"/>
      <c r="W4" s="182" t="s">
        <v>710</v>
      </c>
      <c r="X4" s="182" t="s">
        <v>711</v>
      </c>
      <c r="Y4" s="181" t="s">
        <v>712</v>
      </c>
      <c r="Z4" s="181" t="s">
        <v>713</v>
      </c>
      <c r="AA4" s="649"/>
      <c r="AB4" s="648"/>
      <c r="AC4" s="181" t="s">
        <v>714</v>
      </c>
      <c r="AD4" s="181" t="s">
        <v>715</v>
      </c>
      <c r="AE4" s="641"/>
      <c r="AF4" s="642"/>
      <c r="AG4" s="621"/>
    </row>
    <row r="5" spans="1:33">
      <c r="A5" s="643" t="s">
        <v>716</v>
      </c>
      <c r="B5" s="27" t="s">
        <v>5</v>
      </c>
      <c r="C5" s="657" t="s">
        <v>14</v>
      </c>
      <c r="D5" s="657"/>
      <c r="E5" s="27">
        <v>50.92</v>
      </c>
      <c r="F5" s="187">
        <v>2613</v>
      </c>
      <c r="G5" s="182">
        <f t="shared" ref="G5:G6" si="0">E5*F5</f>
        <v>133053.96</v>
      </c>
      <c r="H5" s="31" t="s">
        <v>40</v>
      </c>
      <c r="I5" s="185">
        <v>15</v>
      </c>
      <c r="J5" s="29">
        <v>2000</v>
      </c>
      <c r="K5" s="12">
        <f t="shared" ref="K5:K68" si="1">J5/I5</f>
        <v>133.33333333333334</v>
      </c>
      <c r="L5" s="185">
        <v>15</v>
      </c>
      <c r="M5" s="13">
        <f t="shared" ref="M5:M6" si="2">F5/V5*60</f>
        <v>1911.9512195121945</v>
      </c>
      <c r="N5" s="12">
        <f t="shared" ref="N5:N68" si="3">M5/L5</f>
        <v>127.4634146341463</v>
      </c>
      <c r="O5" s="14">
        <f t="shared" ref="O5:O68" si="4">L5-I5</f>
        <v>0</v>
      </c>
      <c r="P5" s="15">
        <f t="shared" ref="P5:P68" si="5">N5-K5</f>
        <v>-5.8699186991870391</v>
      </c>
      <c r="Q5" s="183">
        <f t="shared" ref="Q5:Q68" si="6">N5/K5</f>
        <v>0.95597560975609719</v>
      </c>
      <c r="R5" s="616">
        <f>Q7</f>
        <v>0.95745839311334269</v>
      </c>
      <c r="S5" s="32">
        <v>0.70833333333333337</v>
      </c>
      <c r="T5" s="32">
        <v>0.76527777777777783</v>
      </c>
      <c r="U5" s="182"/>
      <c r="V5" s="186">
        <f t="shared" ref="V5:V6" si="7">(T5-S5)*24*60</f>
        <v>82.000000000000028</v>
      </c>
      <c r="W5" s="16"/>
      <c r="X5" s="16"/>
      <c r="Y5" s="17"/>
      <c r="Z5" s="17"/>
      <c r="AA5" s="612"/>
      <c r="AB5" s="612"/>
      <c r="AC5" s="136">
        <v>2</v>
      </c>
      <c r="AD5" s="18"/>
      <c r="AE5" s="14">
        <f t="shared" ref="AE5:AE57" si="8">M5-J5</f>
        <v>-88.048780487805516</v>
      </c>
      <c r="AF5" s="183">
        <f t="shared" ref="AF5:AF68" si="9">M5/J5</f>
        <v>0.95597560975609719</v>
      </c>
      <c r="AG5" s="616">
        <f>AF7</f>
        <v>0.95745839311334269</v>
      </c>
    </row>
    <row r="6" spans="1:33">
      <c r="A6" s="644" t="s">
        <v>717</v>
      </c>
      <c r="B6" s="27" t="s">
        <v>5</v>
      </c>
      <c r="C6" s="657" t="s">
        <v>19</v>
      </c>
      <c r="D6" s="657"/>
      <c r="E6" s="27">
        <v>50.98</v>
      </c>
      <c r="F6" s="187">
        <v>2717</v>
      </c>
      <c r="G6" s="182">
        <f t="shared" si="0"/>
        <v>138512.66</v>
      </c>
      <c r="H6" s="31" t="s">
        <v>40</v>
      </c>
      <c r="I6" s="185">
        <v>16</v>
      </c>
      <c r="J6" s="29">
        <v>2000</v>
      </c>
      <c r="K6" s="12">
        <f t="shared" si="1"/>
        <v>125</v>
      </c>
      <c r="L6" s="185">
        <v>16</v>
      </c>
      <c r="M6" s="13">
        <f t="shared" si="2"/>
        <v>1917.8823529411761</v>
      </c>
      <c r="N6" s="12">
        <f t="shared" si="3"/>
        <v>119.86764705882351</v>
      </c>
      <c r="O6" s="14">
        <f t="shared" si="4"/>
        <v>0</v>
      </c>
      <c r="P6" s="15">
        <f t="shared" si="5"/>
        <v>-5.1323529411764923</v>
      </c>
      <c r="Q6" s="183">
        <f t="shared" si="6"/>
        <v>0.95894117647058807</v>
      </c>
      <c r="R6" s="616"/>
      <c r="S6" s="32">
        <v>0.76875000000000004</v>
      </c>
      <c r="T6" s="32">
        <v>0.82777777777777783</v>
      </c>
      <c r="U6" s="182">
        <f t="shared" ref="U6" si="10">IF(S6=TIME(17,0,0),"",(S6-T5)*24*60)</f>
        <v>4.9999999999999822</v>
      </c>
      <c r="V6" s="186">
        <f t="shared" si="7"/>
        <v>85.000000000000014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-82.117647058823877</v>
      </c>
      <c r="AF6" s="183">
        <f t="shared" si="9"/>
        <v>0.95894117647058807</v>
      </c>
      <c r="AG6" s="616"/>
    </row>
    <row r="7" spans="1:33">
      <c r="A7" s="644" t="s">
        <v>717</v>
      </c>
      <c r="B7" s="27" t="s">
        <v>718</v>
      </c>
      <c r="C7" s="658"/>
      <c r="D7" s="658"/>
      <c r="E7" s="184"/>
      <c r="F7" s="28"/>
      <c r="G7" s="12"/>
      <c r="H7" s="187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1914.9167862266854</v>
      </c>
      <c r="N7" s="12">
        <f t="shared" si="3"/>
        <v>123.54301846623777</v>
      </c>
      <c r="O7" s="14">
        <f t="shared" si="4"/>
        <v>0</v>
      </c>
      <c r="P7" s="15">
        <f t="shared" si="5"/>
        <v>-5.4892395982783597</v>
      </c>
      <c r="Q7" s="183">
        <f t="shared" si="6"/>
        <v>0.95745839311334269</v>
      </c>
      <c r="R7" s="616"/>
      <c r="S7" s="32"/>
      <c r="T7" s="32"/>
      <c r="U7" s="182"/>
      <c r="V7" s="186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-85.083213773314583</v>
      </c>
      <c r="AF7" s="183">
        <f t="shared" si="9"/>
        <v>0.95745839311334269</v>
      </c>
      <c r="AG7" s="616"/>
    </row>
    <row r="8" spans="1:33" ht="15.75" customHeight="1">
      <c r="A8" s="640" t="s">
        <v>719</v>
      </c>
      <c r="B8" s="27" t="s">
        <v>8</v>
      </c>
      <c r="C8" s="638" t="s">
        <v>9</v>
      </c>
      <c r="D8" s="639"/>
      <c r="E8" s="27">
        <v>39.619999999999997</v>
      </c>
      <c r="F8" s="187">
        <v>5062</v>
      </c>
      <c r="G8" s="182">
        <f t="shared" ref="G8:G11" si="11">E8*F8</f>
        <v>200556.43999999997</v>
      </c>
      <c r="H8" s="31" t="s">
        <v>40</v>
      </c>
      <c r="I8" s="185">
        <v>19</v>
      </c>
      <c r="J8" s="29">
        <v>1500</v>
      </c>
      <c r="K8" s="12">
        <f t="shared" si="1"/>
        <v>78.94736842105263</v>
      </c>
      <c r="L8" s="185">
        <v>19</v>
      </c>
      <c r="M8" s="13">
        <f t="shared" ref="M8:M11" si="12">F8/V8*60</f>
        <v>1432.6415094339618</v>
      </c>
      <c r="N8" s="12">
        <f t="shared" si="3"/>
        <v>75.402184707050623</v>
      </c>
      <c r="O8" s="14">
        <f t="shared" si="4"/>
        <v>0</v>
      </c>
      <c r="P8" s="15">
        <f t="shared" si="5"/>
        <v>-3.5451837140020075</v>
      </c>
      <c r="Q8" s="183">
        <f t="shared" si="6"/>
        <v>0.95509433962264123</v>
      </c>
      <c r="R8" s="616">
        <f>Q12</f>
        <v>0.95502076256460267</v>
      </c>
      <c r="S8" s="32">
        <v>8.3333333333333329E-2</v>
      </c>
      <c r="T8" s="32">
        <v>0.23055555555555557</v>
      </c>
      <c r="U8" s="182"/>
      <c r="V8" s="186">
        <f t="shared" ref="V8:V11" si="13">(T8-S8)*24*60</f>
        <v>212.00000000000006</v>
      </c>
      <c r="W8" s="16">
        <f>T8</f>
        <v>0.23055555555555557</v>
      </c>
      <c r="X8" s="16">
        <f>S9</f>
        <v>0.25208333333333333</v>
      </c>
      <c r="Y8" s="16"/>
      <c r="Z8" s="16"/>
      <c r="AA8" s="612"/>
      <c r="AB8" s="612"/>
      <c r="AC8" s="136">
        <v>4</v>
      </c>
      <c r="AD8" s="18"/>
      <c r="AE8" s="14">
        <f t="shared" si="8"/>
        <v>-67.358490566038199</v>
      </c>
      <c r="AF8" s="183">
        <f t="shared" si="9"/>
        <v>0.95509433962264123</v>
      </c>
      <c r="AG8" s="616">
        <f>AF12</f>
        <v>0.95502076256460255</v>
      </c>
    </row>
    <row r="9" spans="1:33" ht="15.75" customHeight="1">
      <c r="A9" s="640" t="s">
        <v>719</v>
      </c>
      <c r="B9" s="27" t="s">
        <v>8</v>
      </c>
      <c r="C9" s="638" t="s">
        <v>63</v>
      </c>
      <c r="D9" s="639"/>
      <c r="E9" s="27">
        <v>39.46</v>
      </c>
      <c r="F9" s="187">
        <v>4066</v>
      </c>
      <c r="G9" s="182">
        <f t="shared" si="11"/>
        <v>160444.36000000002</v>
      </c>
      <c r="H9" s="31" t="s">
        <v>40</v>
      </c>
      <c r="I9" s="185">
        <v>15</v>
      </c>
      <c r="J9" s="29">
        <v>1500</v>
      </c>
      <c r="K9" s="12">
        <f t="shared" si="1"/>
        <v>100</v>
      </c>
      <c r="L9" s="185">
        <v>15</v>
      </c>
      <c r="M9" s="13">
        <f t="shared" si="12"/>
        <v>1435.0588235294115</v>
      </c>
      <c r="N9" s="12">
        <f t="shared" si="3"/>
        <v>95.670588235294105</v>
      </c>
      <c r="O9" s="14">
        <f t="shared" si="4"/>
        <v>0</v>
      </c>
      <c r="P9" s="15">
        <f t="shared" si="5"/>
        <v>-4.3294117647058954</v>
      </c>
      <c r="Q9" s="183">
        <f t="shared" si="6"/>
        <v>0.95670588235294107</v>
      </c>
      <c r="R9" s="616"/>
      <c r="S9" s="32">
        <v>0.25208333333333333</v>
      </c>
      <c r="T9" s="32">
        <v>0.37013888888888891</v>
      </c>
      <c r="U9" s="182">
        <f t="shared" ref="U9:U11" si="14">IF(S9=TIME(17,0,0),"",(S9-T8)*24*60)</f>
        <v>30.999999999999972</v>
      </c>
      <c r="V9" s="186">
        <f t="shared" si="13"/>
        <v>170.00000000000003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-64.941176470588516</v>
      </c>
      <c r="AF9" s="183">
        <f t="shared" si="9"/>
        <v>0.95670588235294096</v>
      </c>
      <c r="AG9" s="616"/>
    </row>
    <row r="10" spans="1:33" ht="15.75" customHeight="1">
      <c r="A10" s="640" t="s">
        <v>719</v>
      </c>
      <c r="B10" s="27" t="s">
        <v>8</v>
      </c>
      <c r="C10" s="638" t="s">
        <v>10</v>
      </c>
      <c r="D10" s="639"/>
      <c r="E10" s="27">
        <v>39.799999999999997</v>
      </c>
      <c r="F10" s="187">
        <v>4300</v>
      </c>
      <c r="G10" s="182">
        <f t="shared" si="11"/>
        <v>171140</v>
      </c>
      <c r="H10" s="31">
        <v>2</v>
      </c>
      <c r="I10" s="185">
        <v>17</v>
      </c>
      <c r="J10" s="29">
        <v>1500</v>
      </c>
      <c r="K10" s="12">
        <f t="shared" si="1"/>
        <v>88.235294117647058</v>
      </c>
      <c r="L10" s="185">
        <v>17</v>
      </c>
      <c r="M10" s="13">
        <f t="shared" si="12"/>
        <v>1433.3333333333333</v>
      </c>
      <c r="N10" s="12">
        <f t="shared" si="3"/>
        <v>84.313725490196077</v>
      </c>
      <c r="O10" s="14">
        <f t="shared" si="4"/>
        <v>0</v>
      </c>
      <c r="P10" s="15">
        <f t="shared" si="5"/>
        <v>-3.9215686274509807</v>
      </c>
      <c r="Q10" s="183">
        <f t="shared" si="6"/>
        <v>0.9555555555555556</v>
      </c>
      <c r="R10" s="616"/>
      <c r="S10" s="32">
        <v>0.375</v>
      </c>
      <c r="T10" s="32">
        <v>0.5</v>
      </c>
      <c r="U10" s="182">
        <f t="shared" si="14"/>
        <v>6.9999999999999751</v>
      </c>
      <c r="V10" s="186">
        <f t="shared" si="13"/>
        <v>180</v>
      </c>
      <c r="W10" s="16">
        <f>T10</f>
        <v>0.5</v>
      </c>
      <c r="X10" s="16">
        <f>S11</f>
        <v>0.5395833333333333</v>
      </c>
      <c r="Y10" s="16"/>
      <c r="Z10" s="16"/>
      <c r="AA10" s="612"/>
      <c r="AB10" s="612"/>
      <c r="AC10" s="136"/>
      <c r="AD10" s="18"/>
      <c r="AE10" s="14">
        <f t="shared" si="8"/>
        <v>-66.666666666666742</v>
      </c>
      <c r="AF10" s="183">
        <f t="shared" si="9"/>
        <v>0.95555555555555549</v>
      </c>
      <c r="AG10" s="616"/>
    </row>
    <row r="11" spans="1:33" ht="15.75" customHeight="1">
      <c r="A11" s="640" t="s">
        <v>719</v>
      </c>
      <c r="B11" s="27" t="s">
        <v>8</v>
      </c>
      <c r="C11" s="638" t="s">
        <v>10</v>
      </c>
      <c r="D11" s="639"/>
      <c r="E11" s="27">
        <v>39.799999999999997</v>
      </c>
      <c r="F11" s="187">
        <v>3406</v>
      </c>
      <c r="G11" s="182">
        <f t="shared" si="11"/>
        <v>135558.79999999999</v>
      </c>
      <c r="H11" s="31" t="s">
        <v>40</v>
      </c>
      <c r="I11" s="185">
        <v>17</v>
      </c>
      <c r="J11" s="29">
        <v>1500</v>
      </c>
      <c r="K11" s="12">
        <f t="shared" si="1"/>
        <v>88.235294117647058</v>
      </c>
      <c r="L11" s="185">
        <v>17</v>
      </c>
      <c r="M11" s="13">
        <f t="shared" si="12"/>
        <v>1429.0909090909095</v>
      </c>
      <c r="N11" s="12">
        <f t="shared" si="3"/>
        <v>84.064171122994679</v>
      </c>
      <c r="O11" s="14">
        <f t="shared" si="4"/>
        <v>0</v>
      </c>
      <c r="P11" s="15">
        <f t="shared" si="5"/>
        <v>-4.1711229946523787</v>
      </c>
      <c r="Q11" s="183">
        <f t="shared" si="6"/>
        <v>0.95272727272727309</v>
      </c>
      <c r="R11" s="616"/>
      <c r="S11" s="32">
        <v>0.5395833333333333</v>
      </c>
      <c r="T11" s="32">
        <v>0.63888888888888884</v>
      </c>
      <c r="U11" s="182">
        <f t="shared" si="14"/>
        <v>56.999999999999957</v>
      </c>
      <c r="V11" s="186">
        <f t="shared" si="13"/>
        <v>142.99999999999997</v>
      </c>
      <c r="W11" s="16"/>
      <c r="X11" s="16"/>
      <c r="Y11" s="16"/>
      <c r="Z11" s="16"/>
      <c r="AA11" s="607"/>
      <c r="AB11" s="608"/>
      <c r="AC11" s="136"/>
      <c r="AD11" s="18"/>
      <c r="AE11" s="14">
        <f t="shared" si="8"/>
        <v>-70.909090909090537</v>
      </c>
      <c r="AF11" s="183">
        <f t="shared" si="9"/>
        <v>0.95272727272727298</v>
      </c>
      <c r="AG11" s="616"/>
    </row>
    <row r="12" spans="1:33" ht="16.5" customHeight="1">
      <c r="A12" s="640" t="s">
        <v>719</v>
      </c>
      <c r="B12" s="27" t="s">
        <v>718</v>
      </c>
      <c r="C12" s="658"/>
      <c r="D12" s="658"/>
      <c r="E12" s="184"/>
      <c r="F12" s="29"/>
      <c r="G12" s="13"/>
      <c r="H12" s="187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1432.5311438469039</v>
      </c>
      <c r="N12" s="12">
        <f t="shared" si="3"/>
        <v>84.266537873347289</v>
      </c>
      <c r="O12" s="14">
        <f t="shared" si="4"/>
        <v>0</v>
      </c>
      <c r="P12" s="15">
        <f t="shared" si="5"/>
        <v>-3.9687562442997688</v>
      </c>
      <c r="Q12" s="183">
        <f t="shared" si="6"/>
        <v>0.95502076256460267</v>
      </c>
      <c r="R12" s="616"/>
      <c r="S12" s="32"/>
      <c r="T12" s="32"/>
      <c r="U12" s="12"/>
      <c r="V12" s="186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-67.468856153096112</v>
      </c>
      <c r="AF12" s="183">
        <f t="shared" si="9"/>
        <v>0.95502076256460255</v>
      </c>
      <c r="AG12" s="616"/>
    </row>
    <row r="13" spans="1:33" ht="16.5" customHeight="1">
      <c r="A13" s="636" t="s">
        <v>720</v>
      </c>
      <c r="B13" s="187" t="s">
        <v>11</v>
      </c>
      <c r="C13" s="659" t="s">
        <v>67</v>
      </c>
      <c r="D13" s="659"/>
      <c r="E13" s="27">
        <v>38.619999999999997</v>
      </c>
      <c r="F13" s="187">
        <v>2460</v>
      </c>
      <c r="G13" s="182">
        <f t="shared" ref="G13:G20" si="15">E13*F13</f>
        <v>95005.2</v>
      </c>
      <c r="H13" s="31" t="s">
        <v>40</v>
      </c>
      <c r="I13" s="185">
        <v>24</v>
      </c>
      <c r="J13" s="29">
        <v>1500</v>
      </c>
      <c r="K13" s="12">
        <f t="shared" si="1"/>
        <v>62.5</v>
      </c>
      <c r="L13" s="185">
        <v>24</v>
      </c>
      <c r="M13" s="13">
        <f t="shared" ref="M13:M20" si="16">F13/V13*60</f>
        <v>1433.009708737864</v>
      </c>
      <c r="N13" s="12">
        <f t="shared" si="3"/>
        <v>59.708737864077669</v>
      </c>
      <c r="O13" s="14">
        <f t="shared" si="4"/>
        <v>0</v>
      </c>
      <c r="P13" s="15">
        <f t="shared" si="5"/>
        <v>-2.7912621359223309</v>
      </c>
      <c r="Q13" s="183">
        <f t="shared" si="6"/>
        <v>0.95533980582524269</v>
      </c>
      <c r="R13" s="616">
        <f>Q21</f>
        <v>0.9576148251788229</v>
      </c>
      <c r="S13" s="32">
        <v>8.3333333333333329E-2</v>
      </c>
      <c r="T13" s="32">
        <v>0.15486111111111112</v>
      </c>
      <c r="U13" s="182"/>
      <c r="V13" s="186">
        <f t="shared" ref="V13:V20" si="17">(T13-S13)*24*60</f>
        <v>103</v>
      </c>
      <c r="W13" s="16">
        <f>T13</f>
        <v>0.15486111111111112</v>
      </c>
      <c r="X13" s="16">
        <f>S14</f>
        <v>0.17430555555555557</v>
      </c>
      <c r="Y13" s="20"/>
      <c r="Z13" s="20"/>
      <c r="AA13" s="612"/>
      <c r="AB13" s="612"/>
      <c r="AC13" s="136">
        <v>8</v>
      </c>
      <c r="AD13" s="18"/>
      <c r="AE13" s="14">
        <f t="shared" si="8"/>
        <v>-66.990291262135997</v>
      </c>
      <c r="AF13" s="183">
        <f t="shared" si="9"/>
        <v>0.95533980582524269</v>
      </c>
      <c r="AG13" s="616">
        <f>AF21</f>
        <v>0.9576148251788229</v>
      </c>
    </row>
    <row r="14" spans="1:33" ht="16.5" customHeight="1">
      <c r="A14" s="637" t="s">
        <v>720</v>
      </c>
      <c r="B14" s="187" t="s">
        <v>11</v>
      </c>
      <c r="C14" s="659" t="s">
        <v>12</v>
      </c>
      <c r="D14" s="659"/>
      <c r="E14" s="27">
        <v>41</v>
      </c>
      <c r="F14" s="187">
        <v>2179</v>
      </c>
      <c r="G14" s="182">
        <f t="shared" si="15"/>
        <v>89339</v>
      </c>
      <c r="H14" s="31" t="s">
        <v>40</v>
      </c>
      <c r="I14" s="185">
        <v>26</v>
      </c>
      <c r="J14" s="29">
        <v>1500</v>
      </c>
      <c r="K14" s="12">
        <f t="shared" si="1"/>
        <v>57.692307692307693</v>
      </c>
      <c r="L14" s="185">
        <v>26</v>
      </c>
      <c r="M14" s="13">
        <f t="shared" si="16"/>
        <v>1436.7032967032967</v>
      </c>
      <c r="N14" s="12">
        <f t="shared" si="3"/>
        <v>55.257819103972949</v>
      </c>
      <c r="O14" s="14">
        <f t="shared" si="4"/>
        <v>0</v>
      </c>
      <c r="P14" s="15">
        <f t="shared" si="5"/>
        <v>-2.4344885883347445</v>
      </c>
      <c r="Q14" s="183">
        <f t="shared" si="6"/>
        <v>0.95780219780219777</v>
      </c>
      <c r="R14" s="616"/>
      <c r="S14" s="32">
        <v>0.17430555555555557</v>
      </c>
      <c r="T14" s="32">
        <v>0.23750000000000002</v>
      </c>
      <c r="U14" s="182">
        <f t="shared" ref="U14:U20" si="18">IF(S14=TIME(17,0,0),"",(S14-T13)*24*60)</f>
        <v>28.000000000000021</v>
      </c>
      <c r="V14" s="186">
        <f t="shared" si="17"/>
        <v>91</v>
      </c>
      <c r="W14" s="16"/>
      <c r="X14" s="16"/>
      <c r="Y14" s="16"/>
      <c r="Z14" s="16"/>
      <c r="AA14" s="612"/>
      <c r="AB14" s="612"/>
      <c r="AC14" s="136"/>
      <c r="AD14" s="18"/>
      <c r="AE14" s="14">
        <f t="shared" si="8"/>
        <v>-63.296703296703299</v>
      </c>
      <c r="AF14" s="183">
        <f t="shared" si="9"/>
        <v>0.95780219780219777</v>
      </c>
      <c r="AG14" s="616"/>
    </row>
    <row r="15" spans="1:33" ht="16.5" customHeight="1">
      <c r="A15" s="637" t="s">
        <v>720</v>
      </c>
      <c r="B15" s="187" t="s">
        <v>5</v>
      </c>
      <c r="C15" s="659" t="s">
        <v>66</v>
      </c>
      <c r="D15" s="659"/>
      <c r="E15" s="27">
        <v>37.03</v>
      </c>
      <c r="F15" s="187">
        <v>3913</v>
      </c>
      <c r="G15" s="182">
        <f t="shared" si="15"/>
        <v>144898.39000000001</v>
      </c>
      <c r="H15" s="31" t="s">
        <v>40</v>
      </c>
      <c r="I15" s="185">
        <v>13</v>
      </c>
      <c r="J15" s="29">
        <v>1500</v>
      </c>
      <c r="K15" s="12">
        <f t="shared" si="1"/>
        <v>115.38461538461539</v>
      </c>
      <c r="L15" s="185">
        <v>13</v>
      </c>
      <c r="M15" s="13">
        <f t="shared" si="16"/>
        <v>1431.5853658536587</v>
      </c>
      <c r="N15" s="12">
        <f t="shared" si="3"/>
        <v>110.12195121951221</v>
      </c>
      <c r="O15" s="14">
        <f t="shared" si="4"/>
        <v>0</v>
      </c>
      <c r="P15" s="15">
        <f t="shared" si="5"/>
        <v>-5.2626641651031747</v>
      </c>
      <c r="Q15" s="183">
        <f t="shared" si="6"/>
        <v>0.95439024390243921</v>
      </c>
      <c r="R15" s="616"/>
      <c r="S15" s="32">
        <v>0.2416666666666667</v>
      </c>
      <c r="T15" s="32">
        <v>0.35555555555555557</v>
      </c>
      <c r="U15" s="182">
        <f t="shared" si="18"/>
        <v>6.0000000000000187</v>
      </c>
      <c r="V15" s="186">
        <f t="shared" si="17"/>
        <v>163.99999999999997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-68.414634146341314</v>
      </c>
      <c r="AF15" s="183">
        <f t="shared" si="9"/>
        <v>0.95439024390243909</v>
      </c>
      <c r="AG15" s="616"/>
    </row>
    <row r="16" spans="1:33" ht="16.5" customHeight="1">
      <c r="A16" s="637" t="s">
        <v>720</v>
      </c>
      <c r="B16" s="187" t="s">
        <v>8</v>
      </c>
      <c r="C16" s="659" t="s">
        <v>74</v>
      </c>
      <c r="D16" s="659"/>
      <c r="E16" s="27">
        <v>39.520000000000003</v>
      </c>
      <c r="F16" s="187">
        <v>3146</v>
      </c>
      <c r="G16" s="182">
        <f t="shared" si="15"/>
        <v>124329.92000000001</v>
      </c>
      <c r="H16" s="31" t="s">
        <v>40</v>
      </c>
      <c r="I16" s="185">
        <v>19</v>
      </c>
      <c r="J16" s="29">
        <v>1500</v>
      </c>
      <c r="K16" s="12">
        <f t="shared" si="1"/>
        <v>78.94736842105263</v>
      </c>
      <c r="L16" s="185">
        <v>19</v>
      </c>
      <c r="M16" s="13">
        <f t="shared" si="16"/>
        <v>1430</v>
      </c>
      <c r="N16" s="12">
        <f t="shared" si="3"/>
        <v>75.263157894736835</v>
      </c>
      <c r="O16" s="14">
        <f t="shared" si="4"/>
        <v>0</v>
      </c>
      <c r="P16" s="15">
        <f t="shared" si="5"/>
        <v>-3.6842105263157947</v>
      </c>
      <c r="Q16" s="183">
        <f t="shared" si="6"/>
        <v>0.95333333333333325</v>
      </c>
      <c r="R16" s="616"/>
      <c r="S16" s="32">
        <v>0.35972222222222222</v>
      </c>
      <c r="T16" s="32">
        <v>0.4513888888888889</v>
      </c>
      <c r="U16" s="182">
        <f t="shared" si="18"/>
        <v>5.9999999999999787</v>
      </c>
      <c r="V16" s="186">
        <f t="shared" si="17"/>
        <v>132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-70</v>
      </c>
      <c r="AF16" s="183">
        <f t="shared" si="9"/>
        <v>0.95333333333333337</v>
      </c>
      <c r="AG16" s="616"/>
    </row>
    <row r="17" spans="1:33" ht="16.5" customHeight="1">
      <c r="A17" s="637" t="s">
        <v>720</v>
      </c>
      <c r="B17" s="187" t="s">
        <v>5</v>
      </c>
      <c r="C17" s="659" t="s">
        <v>6</v>
      </c>
      <c r="D17" s="659"/>
      <c r="E17" s="27">
        <v>50.67</v>
      </c>
      <c r="F17" s="187">
        <v>1727</v>
      </c>
      <c r="G17" s="182">
        <f t="shared" si="15"/>
        <v>87507.09</v>
      </c>
      <c r="H17" s="31" t="s">
        <v>40</v>
      </c>
      <c r="I17" s="185">
        <v>17</v>
      </c>
      <c r="J17" s="29">
        <v>2000</v>
      </c>
      <c r="K17" s="12">
        <f t="shared" si="1"/>
        <v>117.64705882352941</v>
      </c>
      <c r="L17" s="185">
        <v>17</v>
      </c>
      <c r="M17" s="13">
        <f t="shared" si="16"/>
        <v>1918.8888888888898</v>
      </c>
      <c r="N17" s="12">
        <f t="shared" si="3"/>
        <v>112.87581699346411</v>
      </c>
      <c r="O17" s="14">
        <f t="shared" si="4"/>
        <v>0</v>
      </c>
      <c r="P17" s="15">
        <f t="shared" si="5"/>
        <v>-4.7712418300652928</v>
      </c>
      <c r="Q17" s="183">
        <f t="shared" si="6"/>
        <v>0.95944444444444499</v>
      </c>
      <c r="R17" s="616"/>
      <c r="S17" s="32">
        <v>0.70833333333333337</v>
      </c>
      <c r="T17" s="32">
        <v>0.74583333333333335</v>
      </c>
      <c r="U17" s="182" t="str">
        <f t="shared" si="18"/>
        <v/>
      </c>
      <c r="V17" s="186">
        <f t="shared" si="17"/>
        <v>53.999999999999972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-81.111111111110176</v>
      </c>
      <c r="AF17" s="183">
        <f t="shared" si="9"/>
        <v>0.95944444444444488</v>
      </c>
      <c r="AG17" s="616"/>
    </row>
    <row r="18" spans="1:33" ht="16.5" customHeight="1">
      <c r="A18" s="637" t="s">
        <v>720</v>
      </c>
      <c r="B18" s="187" t="s">
        <v>5</v>
      </c>
      <c r="C18" s="106" t="s">
        <v>7</v>
      </c>
      <c r="D18" s="107"/>
      <c r="E18" s="27">
        <v>50.67</v>
      </c>
      <c r="F18" s="187">
        <v>1584</v>
      </c>
      <c r="G18" s="182">
        <f t="shared" si="15"/>
        <v>80261.279999999999</v>
      </c>
      <c r="H18" s="31" t="s">
        <v>40</v>
      </c>
      <c r="I18" s="185">
        <v>15</v>
      </c>
      <c r="J18" s="29">
        <v>2000</v>
      </c>
      <c r="K18" s="12">
        <f t="shared" si="1"/>
        <v>133.33333333333334</v>
      </c>
      <c r="L18" s="185">
        <v>15</v>
      </c>
      <c r="M18" s="13">
        <f t="shared" si="16"/>
        <v>1939.5918367346944</v>
      </c>
      <c r="N18" s="12">
        <f t="shared" si="3"/>
        <v>129.30612244897964</v>
      </c>
      <c r="O18" s="14">
        <f t="shared" si="4"/>
        <v>0</v>
      </c>
      <c r="P18" s="15">
        <f t="shared" si="5"/>
        <v>-4.0272108843537069</v>
      </c>
      <c r="Q18" s="183">
        <f t="shared" si="6"/>
        <v>0.96979591836734724</v>
      </c>
      <c r="R18" s="616"/>
      <c r="S18" s="32">
        <v>0.75138888888888888</v>
      </c>
      <c r="T18" s="32">
        <v>0.78541666666666665</v>
      </c>
      <c r="U18" s="182">
        <f t="shared" si="18"/>
        <v>7.9999999999999716</v>
      </c>
      <c r="V18" s="186">
        <f t="shared" si="17"/>
        <v>48.999999999999986</v>
      </c>
      <c r="W18" s="16"/>
      <c r="X18" s="16"/>
      <c r="Y18" s="19"/>
      <c r="Z18" s="19"/>
      <c r="AA18" s="178"/>
      <c r="AB18" s="179"/>
      <c r="AC18" s="136"/>
      <c r="AD18" s="18"/>
      <c r="AE18" s="14">
        <f t="shared" si="8"/>
        <v>-60.408163265305575</v>
      </c>
      <c r="AF18" s="183">
        <f t="shared" si="9"/>
        <v>0.96979591836734724</v>
      </c>
      <c r="AG18" s="616"/>
    </row>
    <row r="19" spans="1:33" ht="16.5" customHeight="1">
      <c r="A19" s="637" t="s">
        <v>720</v>
      </c>
      <c r="B19" s="187" t="s">
        <v>5</v>
      </c>
      <c r="C19" s="106" t="s">
        <v>615</v>
      </c>
      <c r="D19" s="107"/>
      <c r="E19" s="27">
        <v>54.5</v>
      </c>
      <c r="F19" s="187">
        <v>1500</v>
      </c>
      <c r="G19" s="182">
        <f t="shared" si="15"/>
        <v>81750</v>
      </c>
      <c r="H19" s="31">
        <v>2</v>
      </c>
      <c r="I19" s="185">
        <v>20</v>
      </c>
      <c r="J19" s="29">
        <v>1500</v>
      </c>
      <c r="K19" s="12">
        <f t="shared" si="1"/>
        <v>75</v>
      </c>
      <c r="L19" s="185">
        <v>20</v>
      </c>
      <c r="M19" s="13">
        <f t="shared" si="16"/>
        <v>1428.57142857143</v>
      </c>
      <c r="N19" s="12">
        <f t="shared" si="3"/>
        <v>71.428571428571502</v>
      </c>
      <c r="O19" s="14">
        <f t="shared" si="4"/>
        <v>0</v>
      </c>
      <c r="P19" s="15">
        <f t="shared" si="5"/>
        <v>-3.5714285714284983</v>
      </c>
      <c r="Q19" s="183">
        <f t="shared" si="6"/>
        <v>0.95238095238095333</v>
      </c>
      <c r="R19" s="616"/>
      <c r="S19" s="32">
        <v>0.79027777777777775</v>
      </c>
      <c r="T19" s="32">
        <v>0.8340277777777777</v>
      </c>
      <c r="U19" s="182">
        <f t="shared" si="18"/>
        <v>6.9999999999999751</v>
      </c>
      <c r="V19" s="186">
        <f t="shared" si="17"/>
        <v>62.999999999999936</v>
      </c>
      <c r="W19" s="16">
        <f>T19</f>
        <v>0.8340277777777777</v>
      </c>
      <c r="X19" s="16">
        <f>S20</f>
        <v>0.87569444444444433</v>
      </c>
      <c r="Y19" s="19"/>
      <c r="Z19" s="19"/>
      <c r="AA19" s="178"/>
      <c r="AB19" s="179"/>
      <c r="AC19" s="136"/>
      <c r="AD19" s="18"/>
      <c r="AE19" s="14">
        <f t="shared" si="8"/>
        <v>-71.428571428569967</v>
      </c>
      <c r="AF19" s="183">
        <f t="shared" si="9"/>
        <v>0.95238095238095333</v>
      </c>
      <c r="AG19" s="616"/>
    </row>
    <row r="20" spans="1:33" ht="16.5" customHeight="1">
      <c r="A20" s="637" t="s">
        <v>720</v>
      </c>
      <c r="B20" s="187" t="s">
        <v>5</v>
      </c>
      <c r="C20" s="106" t="s">
        <v>615</v>
      </c>
      <c r="D20" s="107"/>
      <c r="E20" s="27">
        <v>54.5</v>
      </c>
      <c r="F20" s="187">
        <v>2599</v>
      </c>
      <c r="G20" s="182">
        <f t="shared" si="15"/>
        <v>141645.5</v>
      </c>
      <c r="H20" s="31" t="s">
        <v>40</v>
      </c>
      <c r="I20" s="185">
        <v>20</v>
      </c>
      <c r="J20" s="29">
        <v>1500</v>
      </c>
      <c r="K20" s="12">
        <f t="shared" si="1"/>
        <v>75</v>
      </c>
      <c r="L20" s="185">
        <v>20</v>
      </c>
      <c r="M20" s="13">
        <f t="shared" si="16"/>
        <v>1430.6422018348635</v>
      </c>
      <c r="N20" s="12">
        <f t="shared" si="3"/>
        <v>71.532110091743178</v>
      </c>
      <c r="O20" s="14">
        <f t="shared" si="4"/>
        <v>0</v>
      </c>
      <c r="P20" s="15">
        <f t="shared" si="5"/>
        <v>-3.4678899082568222</v>
      </c>
      <c r="Q20" s="183">
        <f t="shared" si="6"/>
        <v>0.95376146788990901</v>
      </c>
      <c r="R20" s="616"/>
      <c r="S20" s="32">
        <v>0.87569444444444433</v>
      </c>
      <c r="T20" s="32">
        <v>0.95138888888888873</v>
      </c>
      <c r="U20" s="182">
        <f t="shared" si="18"/>
        <v>59.999999999999943</v>
      </c>
      <c r="V20" s="186">
        <f t="shared" si="17"/>
        <v>108.99999999999993</v>
      </c>
      <c r="W20" s="16"/>
      <c r="X20" s="16"/>
      <c r="Y20" s="19"/>
      <c r="Z20" s="19"/>
      <c r="AA20" s="178"/>
      <c r="AB20" s="179"/>
      <c r="AC20" s="136"/>
      <c r="AD20" s="18"/>
      <c r="AE20" s="14">
        <f t="shared" si="8"/>
        <v>-69.357798165136501</v>
      </c>
      <c r="AF20" s="183">
        <f t="shared" si="9"/>
        <v>0.95376146788990901</v>
      </c>
      <c r="AG20" s="616"/>
    </row>
    <row r="21" spans="1:33" ht="16.5" customHeight="1">
      <c r="A21" s="637" t="s">
        <v>720</v>
      </c>
      <c r="B21" s="27" t="s">
        <v>718</v>
      </c>
      <c r="C21" s="658"/>
      <c r="D21" s="658"/>
      <c r="E21" s="184"/>
      <c r="F21" s="28"/>
      <c r="G21" s="12"/>
      <c r="H21" s="187"/>
      <c r="I21" s="21">
        <v>19.25</v>
      </c>
      <c r="J21" s="29">
        <v>1625</v>
      </c>
      <c r="K21" s="12">
        <f t="shared" si="1"/>
        <v>84.415584415584419</v>
      </c>
      <c r="L21" s="21">
        <v>19.25</v>
      </c>
      <c r="M21" s="13">
        <f>AVERAGE(M13:M20)</f>
        <v>1556.1240909155872</v>
      </c>
      <c r="N21" s="12">
        <f t="shared" si="3"/>
        <v>80.837615112498042</v>
      </c>
      <c r="O21" s="14">
        <f t="shared" si="4"/>
        <v>0</v>
      </c>
      <c r="P21" s="15">
        <f t="shared" si="5"/>
        <v>-3.5779693030863768</v>
      </c>
      <c r="Q21" s="183">
        <f t="shared" si="6"/>
        <v>0.9576148251788229</v>
      </c>
      <c r="R21" s="616"/>
      <c r="S21" s="32"/>
      <c r="T21" s="32"/>
      <c r="U21" s="182"/>
      <c r="V21" s="186"/>
      <c r="W21" s="12"/>
      <c r="X21" s="12"/>
      <c r="Y21" s="22">
        <f>SUM(Y13:Y20)</f>
        <v>0</v>
      </c>
      <c r="Z21" s="22">
        <f>SUM(Z13:Z20)</f>
        <v>0</v>
      </c>
      <c r="AA21" s="611"/>
      <c r="AB21" s="611"/>
      <c r="AC21" s="22">
        <v>8</v>
      </c>
      <c r="AD21" s="22">
        <f>SUM(AD13:AD20)</f>
        <v>0</v>
      </c>
      <c r="AE21" s="14">
        <f t="shared" si="8"/>
        <v>-68.875909084412797</v>
      </c>
      <c r="AF21" s="183">
        <f t="shared" si="9"/>
        <v>0.9576148251788229</v>
      </c>
      <c r="AG21" s="616"/>
    </row>
    <row r="22" spans="1:33" ht="15.75" customHeight="1">
      <c r="A22" s="634" t="s">
        <v>721</v>
      </c>
      <c r="B22" s="27" t="s">
        <v>5</v>
      </c>
      <c r="C22" s="659" t="s">
        <v>16</v>
      </c>
      <c r="D22" s="659"/>
      <c r="E22" s="27">
        <v>50.67</v>
      </c>
      <c r="F22" s="187">
        <v>1960</v>
      </c>
      <c r="G22" s="182">
        <f t="shared" ref="G22:G27" si="19">E22*F22</f>
        <v>99313.2</v>
      </c>
      <c r="H22" s="31" t="s">
        <v>40</v>
      </c>
      <c r="I22" s="185">
        <v>17</v>
      </c>
      <c r="J22" s="29">
        <v>2000</v>
      </c>
      <c r="K22" s="12">
        <f t="shared" si="1"/>
        <v>117.64705882352941</v>
      </c>
      <c r="L22" s="185">
        <v>17</v>
      </c>
      <c r="M22" s="13">
        <f t="shared" ref="M22:M27" si="20">F22/V22*60</f>
        <v>1927.8688524590168</v>
      </c>
      <c r="N22" s="12">
        <f t="shared" si="3"/>
        <v>113.40405014464805</v>
      </c>
      <c r="O22" s="14">
        <f t="shared" si="4"/>
        <v>0</v>
      </c>
      <c r="P22" s="15">
        <f t="shared" si="5"/>
        <v>-4.2430086788813526</v>
      </c>
      <c r="Q22" s="183">
        <f t="shared" si="6"/>
        <v>0.96393442622950853</v>
      </c>
      <c r="R22" s="616">
        <f>Q28</f>
        <v>0.96118655561888811</v>
      </c>
      <c r="S22" s="32">
        <v>0.20833333333333334</v>
      </c>
      <c r="T22" s="32">
        <v>0.25069444444444444</v>
      </c>
      <c r="U22" s="182"/>
      <c r="V22" s="186">
        <f t="shared" ref="V22:V27" si="21">(T22-S22)*24*60</f>
        <v>60.999999999999986</v>
      </c>
      <c r="W22" s="16"/>
      <c r="X22" s="16"/>
      <c r="Y22" s="20"/>
      <c r="Z22" s="20"/>
      <c r="AA22" s="612"/>
      <c r="AB22" s="612"/>
      <c r="AC22" s="136">
        <v>6</v>
      </c>
      <c r="AD22" s="18"/>
      <c r="AE22" s="14">
        <f t="shared" si="8"/>
        <v>-72.131147540983193</v>
      </c>
      <c r="AF22" s="183">
        <f t="shared" si="9"/>
        <v>0.96393442622950842</v>
      </c>
      <c r="AG22" s="616">
        <f>AF28</f>
        <v>0.96118655561888811</v>
      </c>
    </row>
    <row r="23" spans="1:33" ht="15.75" customHeight="1">
      <c r="A23" s="635" t="s">
        <v>721</v>
      </c>
      <c r="B23" s="27" t="s">
        <v>5</v>
      </c>
      <c r="C23" s="659" t="s">
        <v>17</v>
      </c>
      <c r="D23" s="659"/>
      <c r="E23" s="27">
        <v>57.73</v>
      </c>
      <c r="F23" s="187">
        <v>2571</v>
      </c>
      <c r="G23" s="182">
        <f t="shared" si="19"/>
        <v>148423.82999999999</v>
      </c>
      <c r="H23" s="31" t="s">
        <v>40</v>
      </c>
      <c r="I23" s="185">
        <v>14</v>
      </c>
      <c r="J23" s="29">
        <v>2000</v>
      </c>
      <c r="K23" s="12">
        <f t="shared" si="1"/>
        <v>142.85714285714286</v>
      </c>
      <c r="L23" s="185">
        <v>14</v>
      </c>
      <c r="M23" s="13">
        <f t="shared" si="20"/>
        <v>1928.2499999999993</v>
      </c>
      <c r="N23" s="12">
        <f t="shared" si="3"/>
        <v>137.7321428571428</v>
      </c>
      <c r="O23" s="14">
        <f t="shared" si="4"/>
        <v>0</v>
      </c>
      <c r="P23" s="15">
        <f t="shared" si="5"/>
        <v>-5.1250000000000568</v>
      </c>
      <c r="Q23" s="183">
        <f t="shared" si="6"/>
        <v>0.96412499999999957</v>
      </c>
      <c r="R23" s="616"/>
      <c r="S23" s="32">
        <v>0.25416666666666665</v>
      </c>
      <c r="T23" s="32">
        <v>0.30972222222222223</v>
      </c>
      <c r="U23" s="182">
        <f t="shared" ref="U23:U27" si="22">IF(S23=TIME(17,0,0),"",(S23-T22)*24*60)</f>
        <v>4.9999999999999822</v>
      </c>
      <c r="V23" s="186">
        <f t="shared" si="21"/>
        <v>80.000000000000028</v>
      </c>
      <c r="W23" s="16"/>
      <c r="X23" s="182"/>
      <c r="Y23" s="182"/>
      <c r="Z23" s="182"/>
      <c r="AA23" s="612"/>
      <c r="AB23" s="612"/>
      <c r="AC23" s="136"/>
      <c r="AD23" s="18"/>
      <c r="AE23" s="14">
        <f t="shared" si="8"/>
        <v>-71.750000000000682</v>
      </c>
      <c r="AF23" s="183">
        <f t="shared" si="9"/>
        <v>0.96412499999999968</v>
      </c>
      <c r="AG23" s="616"/>
    </row>
    <row r="24" spans="1:33" ht="15.75" customHeight="1">
      <c r="A24" s="635" t="s">
        <v>721</v>
      </c>
      <c r="B24" s="27" t="s">
        <v>5</v>
      </c>
      <c r="C24" s="659" t="s">
        <v>60</v>
      </c>
      <c r="D24" s="659"/>
      <c r="E24" s="27">
        <v>53.27</v>
      </c>
      <c r="F24" s="187">
        <v>1805</v>
      </c>
      <c r="G24" s="182">
        <f t="shared" si="19"/>
        <v>96152.35</v>
      </c>
      <c r="H24" s="31" t="s">
        <v>40</v>
      </c>
      <c r="I24" s="185">
        <v>16</v>
      </c>
      <c r="J24" s="29">
        <v>2000</v>
      </c>
      <c r="K24" s="12">
        <f t="shared" si="1"/>
        <v>125</v>
      </c>
      <c r="L24" s="185">
        <v>16</v>
      </c>
      <c r="M24" s="13">
        <f t="shared" si="20"/>
        <v>1933.9285714285729</v>
      </c>
      <c r="N24" s="12">
        <f t="shared" si="3"/>
        <v>120.87053571428581</v>
      </c>
      <c r="O24" s="14">
        <f t="shared" si="4"/>
        <v>0</v>
      </c>
      <c r="P24" s="15">
        <f t="shared" si="5"/>
        <v>-4.1294642857141923</v>
      </c>
      <c r="Q24" s="183">
        <f t="shared" si="6"/>
        <v>0.9669642857142865</v>
      </c>
      <c r="R24" s="616"/>
      <c r="S24" s="32">
        <v>0.31458333333333333</v>
      </c>
      <c r="T24" s="32">
        <v>0.35347222222222219</v>
      </c>
      <c r="U24" s="182">
        <f t="shared" si="22"/>
        <v>6.9999999999999751</v>
      </c>
      <c r="V24" s="186">
        <f t="shared" si="21"/>
        <v>55.999999999999957</v>
      </c>
      <c r="W24" s="16"/>
      <c r="X24" s="182"/>
      <c r="Y24" s="182"/>
      <c r="Z24" s="182"/>
      <c r="AA24" s="612"/>
      <c r="AB24" s="612"/>
      <c r="AC24" s="136"/>
      <c r="AD24" s="18"/>
      <c r="AE24" s="14">
        <f t="shared" si="8"/>
        <v>-66.071428571427077</v>
      </c>
      <c r="AF24" s="183">
        <f t="shared" si="9"/>
        <v>0.9669642857142865</v>
      </c>
      <c r="AG24" s="616"/>
    </row>
    <row r="25" spans="1:33" ht="15.75" customHeight="1">
      <c r="A25" s="635" t="s">
        <v>722</v>
      </c>
      <c r="B25" s="27" t="s">
        <v>5</v>
      </c>
      <c r="C25" s="659" t="s">
        <v>81</v>
      </c>
      <c r="D25" s="659"/>
      <c r="E25" s="27">
        <v>51.44</v>
      </c>
      <c r="F25" s="187">
        <v>2100</v>
      </c>
      <c r="G25" s="182">
        <f t="shared" si="19"/>
        <v>108024</v>
      </c>
      <c r="H25" s="31" t="s">
        <v>40</v>
      </c>
      <c r="I25" s="185">
        <v>25</v>
      </c>
      <c r="J25" s="29">
        <v>2000</v>
      </c>
      <c r="K25" s="12">
        <f t="shared" si="1"/>
        <v>80</v>
      </c>
      <c r="L25" s="185">
        <v>25</v>
      </c>
      <c r="M25" s="13">
        <f t="shared" si="20"/>
        <v>1909.090909090909</v>
      </c>
      <c r="N25" s="12">
        <f t="shared" si="3"/>
        <v>76.36363636363636</v>
      </c>
      <c r="O25" s="14">
        <f t="shared" si="4"/>
        <v>0</v>
      </c>
      <c r="P25" s="15">
        <f t="shared" si="5"/>
        <v>-3.6363636363636402</v>
      </c>
      <c r="Q25" s="183">
        <f t="shared" si="6"/>
        <v>0.95454545454545447</v>
      </c>
      <c r="R25" s="616"/>
      <c r="S25" s="32">
        <v>0.35833333333333328</v>
      </c>
      <c r="T25" s="32">
        <v>0.40416666666666662</v>
      </c>
      <c r="U25" s="182">
        <f t="shared" si="22"/>
        <v>6.9999999999999751</v>
      </c>
      <c r="V25" s="186">
        <f t="shared" si="21"/>
        <v>66</v>
      </c>
      <c r="W25" s="16"/>
      <c r="X25" s="182"/>
      <c r="Y25" s="182"/>
      <c r="Z25" s="182"/>
      <c r="AA25" s="612"/>
      <c r="AB25" s="612"/>
      <c r="AC25" s="136"/>
      <c r="AD25" s="18"/>
      <c r="AE25" s="14">
        <f t="shared" si="8"/>
        <v>-90.909090909090992</v>
      </c>
      <c r="AF25" s="183">
        <f t="shared" si="9"/>
        <v>0.95454545454545447</v>
      </c>
      <c r="AG25" s="616"/>
    </row>
    <row r="26" spans="1:33" ht="15.75" customHeight="1">
      <c r="A26" s="635" t="s">
        <v>721</v>
      </c>
      <c r="B26" s="27" t="s">
        <v>5</v>
      </c>
      <c r="C26" s="659" t="s">
        <v>18</v>
      </c>
      <c r="D26" s="659"/>
      <c r="E26" s="27">
        <v>50.49</v>
      </c>
      <c r="F26" s="187">
        <v>2209</v>
      </c>
      <c r="G26" s="182">
        <f t="shared" si="19"/>
        <v>111532.41</v>
      </c>
      <c r="H26" s="31" t="s">
        <v>40</v>
      </c>
      <c r="I26" s="185">
        <v>15</v>
      </c>
      <c r="J26" s="29">
        <v>2000</v>
      </c>
      <c r="K26" s="12">
        <f t="shared" si="1"/>
        <v>133.33333333333334</v>
      </c>
      <c r="L26" s="185">
        <v>15</v>
      </c>
      <c r="M26" s="13">
        <f t="shared" si="20"/>
        <v>1920.8695652173892</v>
      </c>
      <c r="N26" s="12">
        <f t="shared" si="3"/>
        <v>128.05797101449261</v>
      </c>
      <c r="O26" s="14">
        <f t="shared" si="4"/>
        <v>0</v>
      </c>
      <c r="P26" s="15">
        <f t="shared" si="5"/>
        <v>-5.2753623188407346</v>
      </c>
      <c r="Q26" s="183">
        <f t="shared" si="6"/>
        <v>0.96043478260869453</v>
      </c>
      <c r="R26" s="616"/>
      <c r="S26" s="32">
        <v>0.70833333333333337</v>
      </c>
      <c r="T26" s="32">
        <v>0.75625000000000009</v>
      </c>
      <c r="U26" s="182" t="str">
        <f t="shared" si="22"/>
        <v/>
      </c>
      <c r="V26" s="186">
        <f t="shared" si="21"/>
        <v>69.000000000000071</v>
      </c>
      <c r="W26" s="16"/>
      <c r="X26" s="16"/>
      <c r="Y26" s="182"/>
      <c r="Z26" s="182"/>
      <c r="AA26" s="612"/>
      <c r="AB26" s="612"/>
      <c r="AC26" s="136"/>
      <c r="AD26" s="18"/>
      <c r="AE26" s="14">
        <f t="shared" si="8"/>
        <v>-79.130434782610791</v>
      </c>
      <c r="AF26" s="183">
        <f t="shared" si="9"/>
        <v>0.96043478260869464</v>
      </c>
      <c r="AG26" s="616"/>
    </row>
    <row r="27" spans="1:33" ht="15.75" customHeight="1">
      <c r="A27" s="635" t="s">
        <v>723</v>
      </c>
      <c r="B27" s="27" t="s">
        <v>5</v>
      </c>
      <c r="C27" s="659" t="s">
        <v>62</v>
      </c>
      <c r="D27" s="659"/>
      <c r="E27" s="27">
        <v>51.06</v>
      </c>
      <c r="F27" s="187">
        <v>3318</v>
      </c>
      <c r="G27" s="182">
        <f t="shared" si="19"/>
        <v>169417.08000000002</v>
      </c>
      <c r="H27" s="31" t="s">
        <v>40</v>
      </c>
      <c r="I27" s="185">
        <v>13</v>
      </c>
      <c r="J27" s="29">
        <v>2000</v>
      </c>
      <c r="K27" s="12">
        <f t="shared" si="1"/>
        <v>153.84615384615384</v>
      </c>
      <c r="L27" s="185">
        <v>13</v>
      </c>
      <c r="M27" s="13">
        <f t="shared" si="20"/>
        <v>1914.2307692307702</v>
      </c>
      <c r="N27" s="12">
        <f t="shared" si="3"/>
        <v>147.24852071005924</v>
      </c>
      <c r="O27" s="14">
        <f t="shared" si="4"/>
        <v>0</v>
      </c>
      <c r="P27" s="15">
        <f t="shared" si="5"/>
        <v>-6.5976331360946006</v>
      </c>
      <c r="Q27" s="183">
        <f t="shared" si="6"/>
        <v>0.95711538461538515</v>
      </c>
      <c r="R27" s="616"/>
      <c r="S27" s="32">
        <v>0.76041666666666674</v>
      </c>
      <c r="T27" s="32">
        <v>0.83263888888888893</v>
      </c>
      <c r="U27" s="182">
        <f t="shared" si="22"/>
        <v>5.9999999999999787</v>
      </c>
      <c r="V27" s="186">
        <f t="shared" si="21"/>
        <v>103.99999999999994</v>
      </c>
      <c r="W27" s="16"/>
      <c r="X27" s="20"/>
      <c r="Y27" s="20"/>
      <c r="Z27" s="20"/>
      <c r="AA27" s="612"/>
      <c r="AB27" s="612"/>
      <c r="AC27" s="136"/>
      <c r="AD27" s="18"/>
      <c r="AE27" s="14">
        <f t="shared" si="8"/>
        <v>-85.769230769229807</v>
      </c>
      <c r="AF27" s="183">
        <f t="shared" si="9"/>
        <v>0.95711538461538515</v>
      </c>
      <c r="AG27" s="616"/>
    </row>
    <row r="28" spans="1:33" ht="15.75" customHeight="1">
      <c r="A28" s="635" t="s">
        <v>724</v>
      </c>
      <c r="B28" s="27" t="s">
        <v>725</v>
      </c>
      <c r="C28" s="658"/>
      <c r="D28" s="658"/>
      <c r="E28" s="184"/>
      <c r="F28" s="187"/>
      <c r="G28" s="182"/>
      <c r="H28" s="187"/>
      <c r="I28" s="21">
        <v>16.666666666666668</v>
      </c>
      <c r="J28" s="29">
        <v>2000</v>
      </c>
      <c r="K28" s="12">
        <f t="shared" si="1"/>
        <v>119.99999999999999</v>
      </c>
      <c r="L28" s="21">
        <v>16.666666666666668</v>
      </c>
      <c r="M28" s="13">
        <f>AVERAGE(M22:M27)</f>
        <v>1922.3731112377761</v>
      </c>
      <c r="N28" s="12">
        <f t="shared" si="3"/>
        <v>115.34238667426656</v>
      </c>
      <c r="O28" s="14">
        <f t="shared" si="4"/>
        <v>0</v>
      </c>
      <c r="P28" s="15">
        <f t="shared" si="5"/>
        <v>-4.657613325733422</v>
      </c>
      <c r="Q28" s="183">
        <f t="shared" si="6"/>
        <v>0.96118655561888811</v>
      </c>
      <c r="R28" s="616"/>
      <c r="S28" s="32"/>
      <c r="T28" s="32"/>
      <c r="U28" s="12"/>
      <c r="V28" s="186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-77.626888762223871</v>
      </c>
      <c r="AF28" s="183">
        <f t="shared" si="9"/>
        <v>0.96118655561888811</v>
      </c>
      <c r="AG28" s="616"/>
    </row>
    <row r="29" spans="1:33" ht="15.75" customHeight="1">
      <c r="A29" s="633" t="s">
        <v>726</v>
      </c>
      <c r="B29" s="27" t="s">
        <v>20</v>
      </c>
      <c r="C29" s="659" t="s">
        <v>21</v>
      </c>
      <c r="D29" s="659"/>
      <c r="E29" s="27">
        <v>31.29</v>
      </c>
      <c r="F29" s="187">
        <v>5800</v>
      </c>
      <c r="G29" s="182">
        <f t="shared" ref="G29:G36" si="23">E29*F29</f>
        <v>181482</v>
      </c>
      <c r="H29" s="31">
        <v>2</v>
      </c>
      <c r="I29" s="185">
        <v>18</v>
      </c>
      <c r="J29" s="29">
        <v>2400</v>
      </c>
      <c r="K29" s="12">
        <f t="shared" si="1"/>
        <v>133.33333333333334</v>
      </c>
      <c r="L29" s="185">
        <v>18</v>
      </c>
      <c r="M29" s="13">
        <f t="shared" ref="M29:M36" si="24">F29/V29*60</f>
        <v>2289.4736842105262</v>
      </c>
      <c r="N29" s="12">
        <f t="shared" si="3"/>
        <v>127.19298245614034</v>
      </c>
      <c r="O29" s="14">
        <f t="shared" si="4"/>
        <v>0</v>
      </c>
      <c r="P29" s="15">
        <f t="shared" si="5"/>
        <v>-6.1403508771930007</v>
      </c>
      <c r="Q29" s="183">
        <f t="shared" si="6"/>
        <v>0.95394736842105254</v>
      </c>
      <c r="R29" s="616">
        <f>Q37</f>
        <v>0.9566587491550016</v>
      </c>
      <c r="S29" s="32">
        <v>8.3333333333333329E-2</v>
      </c>
      <c r="T29" s="32">
        <v>0.18888888888888888</v>
      </c>
      <c r="U29" s="182"/>
      <c r="V29" s="186">
        <f t="shared" ref="V29:V36" si="25">(T29-S29)*24*60</f>
        <v>152</v>
      </c>
      <c r="W29" s="16">
        <f>T29</f>
        <v>0.18888888888888888</v>
      </c>
      <c r="X29" s="16">
        <f>S30</f>
        <v>0.20902777777777778</v>
      </c>
      <c r="Y29" s="16"/>
      <c r="Z29" s="16"/>
      <c r="AA29" s="612"/>
      <c r="AB29" s="612"/>
      <c r="AC29" s="136">
        <v>8</v>
      </c>
      <c r="AD29" s="18"/>
      <c r="AE29" s="14">
        <f t="shared" si="8"/>
        <v>-110.52631578947376</v>
      </c>
      <c r="AF29" s="183">
        <f t="shared" si="9"/>
        <v>0.95394736842105265</v>
      </c>
      <c r="AG29" s="616">
        <f>AF37</f>
        <v>0.95665874915500149</v>
      </c>
    </row>
    <row r="30" spans="1:33" ht="15.75" customHeight="1">
      <c r="A30" s="633" t="s">
        <v>727</v>
      </c>
      <c r="B30" s="27" t="s">
        <v>20</v>
      </c>
      <c r="C30" s="659" t="s">
        <v>22</v>
      </c>
      <c r="D30" s="659"/>
      <c r="E30" s="27">
        <v>26.37</v>
      </c>
      <c r="F30" s="187">
        <v>3900</v>
      </c>
      <c r="G30" s="182">
        <f t="shared" si="23"/>
        <v>102843</v>
      </c>
      <c r="H30" s="31">
        <v>2</v>
      </c>
      <c r="I30" s="185">
        <v>18</v>
      </c>
      <c r="J30" s="29">
        <v>2400</v>
      </c>
      <c r="K30" s="12">
        <f t="shared" si="1"/>
        <v>133.33333333333334</v>
      </c>
      <c r="L30" s="185">
        <v>18</v>
      </c>
      <c r="M30" s="13">
        <f t="shared" si="24"/>
        <v>2294.1176470588234</v>
      </c>
      <c r="N30" s="12">
        <f t="shared" si="3"/>
        <v>127.45098039215685</v>
      </c>
      <c r="O30" s="14">
        <f t="shared" si="4"/>
        <v>0</v>
      </c>
      <c r="P30" s="15">
        <f t="shared" si="5"/>
        <v>-5.8823529411764923</v>
      </c>
      <c r="Q30" s="183">
        <f t="shared" si="6"/>
        <v>0.95588235294117629</v>
      </c>
      <c r="R30" s="616"/>
      <c r="S30" s="32">
        <v>0.20902777777777778</v>
      </c>
      <c r="T30" s="32">
        <v>0.27986111111111112</v>
      </c>
      <c r="U30" s="182">
        <f t="shared" ref="U30:U36" si="26">(S30-T29)*24*60</f>
        <v>29.000000000000018</v>
      </c>
      <c r="V30" s="186">
        <f t="shared" si="25"/>
        <v>102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-105.88235294117658</v>
      </c>
      <c r="AF30" s="183">
        <f t="shared" si="9"/>
        <v>0.95588235294117641</v>
      </c>
      <c r="AG30" s="616"/>
    </row>
    <row r="31" spans="1:33" ht="15.75" customHeight="1">
      <c r="A31" s="633" t="s">
        <v>727</v>
      </c>
      <c r="B31" s="27" t="s">
        <v>20</v>
      </c>
      <c r="C31" s="659" t="s">
        <v>57</v>
      </c>
      <c r="D31" s="659"/>
      <c r="E31" s="27">
        <v>26.18</v>
      </c>
      <c r="F31" s="187">
        <v>4800</v>
      </c>
      <c r="G31" s="182">
        <f t="shared" si="23"/>
        <v>125664</v>
      </c>
      <c r="H31" s="31">
        <v>2</v>
      </c>
      <c r="I31" s="185">
        <v>18</v>
      </c>
      <c r="J31" s="29">
        <v>2400</v>
      </c>
      <c r="K31" s="12">
        <f t="shared" si="1"/>
        <v>133.33333333333334</v>
      </c>
      <c r="L31" s="185">
        <v>18</v>
      </c>
      <c r="M31" s="13">
        <f t="shared" si="24"/>
        <v>2285.7142857142853</v>
      </c>
      <c r="N31" s="12">
        <f t="shared" si="3"/>
        <v>126.98412698412696</v>
      </c>
      <c r="O31" s="14">
        <f t="shared" si="4"/>
        <v>0</v>
      </c>
      <c r="P31" s="15">
        <f t="shared" si="5"/>
        <v>-6.3492063492063835</v>
      </c>
      <c r="Q31" s="183">
        <f t="shared" si="6"/>
        <v>0.95238095238095211</v>
      </c>
      <c r="R31" s="616"/>
      <c r="S31" s="32">
        <v>0.28333333333333333</v>
      </c>
      <c r="T31" s="32">
        <v>0.37083333333333335</v>
      </c>
      <c r="U31" s="182">
        <f t="shared" si="26"/>
        <v>4.9999999999999822</v>
      </c>
      <c r="V31" s="186">
        <f t="shared" si="25"/>
        <v>126.00000000000003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-114.28571428571468</v>
      </c>
      <c r="AF31" s="183">
        <f t="shared" si="9"/>
        <v>0.95238095238095222</v>
      </c>
      <c r="AG31" s="616"/>
    </row>
    <row r="32" spans="1:33" ht="15.75" customHeight="1">
      <c r="A32" s="633" t="s">
        <v>727</v>
      </c>
      <c r="B32" s="27" t="s">
        <v>20</v>
      </c>
      <c r="C32" s="659" t="s">
        <v>64</v>
      </c>
      <c r="D32" s="659"/>
      <c r="E32" s="27">
        <v>20.21</v>
      </c>
      <c r="F32" s="187">
        <v>3024</v>
      </c>
      <c r="G32" s="182">
        <f t="shared" si="23"/>
        <v>61115.040000000001</v>
      </c>
      <c r="H32" s="31" t="s">
        <v>40</v>
      </c>
      <c r="I32" s="185">
        <v>18</v>
      </c>
      <c r="J32" s="29">
        <v>2400</v>
      </c>
      <c r="K32" s="12">
        <f t="shared" si="1"/>
        <v>133.33333333333334</v>
      </c>
      <c r="L32" s="185">
        <v>18</v>
      </c>
      <c r="M32" s="13">
        <f t="shared" si="24"/>
        <v>2296.7088607594924</v>
      </c>
      <c r="N32" s="12">
        <f t="shared" si="3"/>
        <v>127.59493670886069</v>
      </c>
      <c r="O32" s="14">
        <f t="shared" si="4"/>
        <v>0</v>
      </c>
      <c r="P32" s="15">
        <f t="shared" si="5"/>
        <v>-5.7383966244726565</v>
      </c>
      <c r="Q32" s="183">
        <f t="shared" si="6"/>
        <v>0.95696202531645513</v>
      </c>
      <c r="R32" s="616"/>
      <c r="S32" s="32">
        <v>0.37430555555555556</v>
      </c>
      <c r="T32" s="32">
        <v>0.4291666666666667</v>
      </c>
      <c r="U32" s="182">
        <f t="shared" si="26"/>
        <v>4.9999999999999822</v>
      </c>
      <c r="V32" s="186">
        <f t="shared" si="25"/>
        <v>79.000000000000043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-103.29113924050762</v>
      </c>
      <c r="AF32" s="183">
        <f t="shared" si="9"/>
        <v>0.95696202531645513</v>
      </c>
      <c r="AG32" s="616"/>
    </row>
    <row r="33" spans="1:33" ht="15.75" customHeight="1">
      <c r="A33" s="633" t="s">
        <v>727</v>
      </c>
      <c r="B33" s="27" t="s">
        <v>20</v>
      </c>
      <c r="C33" s="659" t="s">
        <v>23</v>
      </c>
      <c r="D33" s="659"/>
      <c r="E33" s="27">
        <v>25.99</v>
      </c>
      <c r="F33" s="187">
        <v>4369</v>
      </c>
      <c r="G33" s="182">
        <f t="shared" si="23"/>
        <v>113550.31</v>
      </c>
      <c r="H33" s="31" t="s">
        <v>40</v>
      </c>
      <c r="I33" s="185">
        <v>14</v>
      </c>
      <c r="J33" s="29">
        <v>2400</v>
      </c>
      <c r="K33" s="12">
        <f t="shared" si="1"/>
        <v>171.42857142857142</v>
      </c>
      <c r="L33" s="185">
        <v>14</v>
      </c>
      <c r="M33" s="13">
        <f t="shared" si="24"/>
        <v>2299.4736842105249</v>
      </c>
      <c r="N33" s="12">
        <f t="shared" si="3"/>
        <v>164.24812030075176</v>
      </c>
      <c r="O33" s="14">
        <f t="shared" si="4"/>
        <v>0</v>
      </c>
      <c r="P33" s="15">
        <f t="shared" si="5"/>
        <v>-7.1804511278196514</v>
      </c>
      <c r="Q33" s="183">
        <f t="shared" si="6"/>
        <v>0.95811403508771875</v>
      </c>
      <c r="R33" s="616"/>
      <c r="S33" s="32">
        <v>0.43402777777777779</v>
      </c>
      <c r="T33" s="32">
        <v>0.51319444444444451</v>
      </c>
      <c r="U33" s="182">
        <f t="shared" si="26"/>
        <v>6.9999999999999751</v>
      </c>
      <c r="V33" s="186">
        <f t="shared" si="25"/>
        <v>114.00000000000007</v>
      </c>
      <c r="W33" s="16">
        <f>T33</f>
        <v>0.51319444444444451</v>
      </c>
      <c r="X33" s="16">
        <f>S34</f>
        <v>0.55347222222222225</v>
      </c>
      <c r="Y33" s="16"/>
      <c r="Z33" s="16"/>
      <c r="AA33" s="612"/>
      <c r="AB33" s="612"/>
      <c r="AC33" s="136"/>
      <c r="AD33" s="18"/>
      <c r="AE33" s="14">
        <f t="shared" si="8"/>
        <v>-100.52631578947512</v>
      </c>
      <c r="AF33" s="183">
        <f t="shared" si="9"/>
        <v>0.95811403508771875</v>
      </c>
      <c r="AG33" s="616"/>
    </row>
    <row r="34" spans="1:33" ht="15.75" customHeight="1">
      <c r="A34" s="633" t="s">
        <v>727</v>
      </c>
      <c r="B34" s="27" t="s">
        <v>20</v>
      </c>
      <c r="C34" s="659" t="s">
        <v>21</v>
      </c>
      <c r="D34" s="659"/>
      <c r="E34" s="27">
        <v>31.29</v>
      </c>
      <c r="F34" s="187">
        <v>4309</v>
      </c>
      <c r="G34" s="182">
        <f t="shared" si="23"/>
        <v>134828.60999999999</v>
      </c>
      <c r="H34" s="31" t="s">
        <v>40</v>
      </c>
      <c r="I34" s="185">
        <v>18</v>
      </c>
      <c r="J34" s="29">
        <v>2400</v>
      </c>
      <c r="K34" s="12">
        <f t="shared" si="1"/>
        <v>133.33333333333334</v>
      </c>
      <c r="L34" s="185">
        <v>18</v>
      </c>
      <c r="M34" s="13">
        <f t="shared" si="24"/>
        <v>2287.9646017699133</v>
      </c>
      <c r="N34" s="12">
        <f t="shared" si="3"/>
        <v>127.10914454277297</v>
      </c>
      <c r="O34" s="14">
        <f t="shared" si="4"/>
        <v>0</v>
      </c>
      <c r="P34" s="15">
        <f t="shared" si="5"/>
        <v>-6.2241887905603761</v>
      </c>
      <c r="Q34" s="183">
        <f t="shared" si="6"/>
        <v>0.95331858407079717</v>
      </c>
      <c r="R34" s="616"/>
      <c r="S34" s="32">
        <v>0.55347222222222225</v>
      </c>
      <c r="T34" s="32">
        <v>0.63194444444444442</v>
      </c>
      <c r="U34" s="182">
        <f t="shared" si="26"/>
        <v>57.999999999999957</v>
      </c>
      <c r="V34" s="186">
        <f t="shared" si="25"/>
        <v>112.99999999999991</v>
      </c>
      <c r="W34" s="16"/>
      <c r="X34" s="16"/>
      <c r="Y34" s="16"/>
      <c r="Z34" s="16"/>
      <c r="AA34" s="612"/>
      <c r="AB34" s="612"/>
      <c r="AC34" s="136"/>
      <c r="AD34" s="18"/>
      <c r="AE34" s="14">
        <f t="shared" si="8"/>
        <v>-112.03539823008668</v>
      </c>
      <c r="AF34" s="183">
        <f t="shared" si="9"/>
        <v>0.95331858407079717</v>
      </c>
      <c r="AG34" s="616"/>
    </row>
    <row r="35" spans="1:33" ht="15.75" customHeight="1">
      <c r="A35" s="633" t="s">
        <v>727</v>
      </c>
      <c r="B35" s="27" t="s">
        <v>20</v>
      </c>
      <c r="C35" s="659" t="s">
        <v>22</v>
      </c>
      <c r="D35" s="659"/>
      <c r="E35" s="27">
        <v>26.37</v>
      </c>
      <c r="F35" s="187">
        <v>2813</v>
      </c>
      <c r="G35" s="182">
        <f t="shared" si="23"/>
        <v>74178.81</v>
      </c>
      <c r="H35" s="31" t="s">
        <v>40</v>
      </c>
      <c r="I35" s="185">
        <v>18</v>
      </c>
      <c r="J35" s="29">
        <v>2400</v>
      </c>
      <c r="K35" s="12">
        <f t="shared" si="1"/>
        <v>133.33333333333334</v>
      </c>
      <c r="L35" s="185">
        <v>18</v>
      </c>
      <c r="M35" s="13">
        <f t="shared" si="24"/>
        <v>2312.0547945205462</v>
      </c>
      <c r="N35" s="12">
        <f t="shared" si="3"/>
        <v>128.4474885844748</v>
      </c>
      <c r="O35" s="14">
        <f t="shared" si="4"/>
        <v>0</v>
      </c>
      <c r="P35" s="15">
        <f t="shared" si="5"/>
        <v>-4.8858447488585455</v>
      </c>
      <c r="Q35" s="183">
        <f t="shared" si="6"/>
        <v>0.96335616438356086</v>
      </c>
      <c r="R35" s="616"/>
      <c r="S35" s="32">
        <v>0.63680555555555551</v>
      </c>
      <c r="T35" s="32">
        <v>0.6875</v>
      </c>
      <c r="U35" s="182">
        <f t="shared" si="26"/>
        <v>6.9999999999999751</v>
      </c>
      <c r="V35" s="186">
        <f t="shared" si="25"/>
        <v>73.000000000000057</v>
      </c>
      <c r="W35" s="16"/>
      <c r="X35" s="16"/>
      <c r="Y35" s="16"/>
      <c r="Z35" s="16"/>
      <c r="AA35" s="612"/>
      <c r="AB35" s="612"/>
      <c r="AC35" s="136"/>
      <c r="AD35" s="18"/>
      <c r="AE35" s="14">
        <f t="shared" si="8"/>
        <v>-87.945205479453762</v>
      </c>
      <c r="AF35" s="183">
        <f t="shared" si="9"/>
        <v>0.96335616438356098</v>
      </c>
      <c r="AG35" s="616"/>
    </row>
    <row r="36" spans="1:33" ht="15.75" customHeight="1">
      <c r="A36" s="633" t="s">
        <v>728</v>
      </c>
      <c r="B36" s="27" t="s">
        <v>20</v>
      </c>
      <c r="C36" s="106" t="s">
        <v>57</v>
      </c>
      <c r="D36" s="107"/>
      <c r="E36" s="27">
        <v>26.18</v>
      </c>
      <c r="F36" s="187">
        <v>3607</v>
      </c>
      <c r="G36" s="182">
        <f t="shared" si="23"/>
        <v>94431.26</v>
      </c>
      <c r="H36" s="31" t="s">
        <v>40</v>
      </c>
      <c r="I36" s="185">
        <v>18</v>
      </c>
      <c r="J36" s="29">
        <v>2400</v>
      </c>
      <c r="K36" s="12">
        <f t="shared" si="1"/>
        <v>133.33333333333334</v>
      </c>
      <c r="L36" s="185">
        <v>18</v>
      </c>
      <c r="M36" s="13">
        <f t="shared" si="24"/>
        <v>2302.3404255319156</v>
      </c>
      <c r="N36" s="12">
        <f t="shared" si="3"/>
        <v>127.90780141843976</v>
      </c>
      <c r="O36" s="14">
        <f t="shared" si="4"/>
        <v>0</v>
      </c>
      <c r="P36" s="15">
        <f t="shared" si="5"/>
        <v>-5.4255319148935826</v>
      </c>
      <c r="Q36" s="183">
        <f t="shared" si="6"/>
        <v>0.95930851063829814</v>
      </c>
      <c r="R36" s="616"/>
      <c r="S36" s="32">
        <v>0.69166666666666665</v>
      </c>
      <c r="T36" s="32">
        <v>0.75694444444444442</v>
      </c>
      <c r="U36" s="182">
        <f t="shared" si="26"/>
        <v>5.9999999999999787</v>
      </c>
      <c r="V36" s="186">
        <f t="shared" si="25"/>
        <v>93.999999999999986</v>
      </c>
      <c r="W36" s="16"/>
      <c r="X36" s="16"/>
      <c r="Y36" s="16"/>
      <c r="Z36" s="16"/>
      <c r="AA36" s="178"/>
      <c r="AB36" s="179"/>
      <c r="AC36" s="136"/>
      <c r="AD36" s="18"/>
      <c r="AE36" s="14">
        <f t="shared" si="8"/>
        <v>-97.659574468084429</v>
      </c>
      <c r="AF36" s="183">
        <f t="shared" si="9"/>
        <v>0.95930851063829814</v>
      </c>
      <c r="AG36" s="616"/>
    </row>
    <row r="37" spans="1:33" ht="15.75" customHeight="1">
      <c r="A37" s="633" t="s">
        <v>729</v>
      </c>
      <c r="B37" s="27" t="s">
        <v>725</v>
      </c>
      <c r="C37" s="658"/>
      <c r="D37" s="658"/>
      <c r="E37" s="184"/>
      <c r="F37" s="187"/>
      <c r="G37" s="182"/>
      <c r="H37" s="187"/>
      <c r="I37" s="21">
        <v>17.5</v>
      </c>
      <c r="J37" s="29">
        <v>2400</v>
      </c>
      <c r="K37" s="12">
        <f t="shared" si="1"/>
        <v>137.14285714285714</v>
      </c>
      <c r="L37" s="21">
        <v>17.5</v>
      </c>
      <c r="M37" s="13">
        <f>AVERAGE(M29:M36)</f>
        <v>2295.9809979720035</v>
      </c>
      <c r="N37" s="12">
        <f t="shared" si="3"/>
        <v>131.19891416982878</v>
      </c>
      <c r="O37" s="14">
        <f t="shared" si="4"/>
        <v>0</v>
      </c>
      <c r="P37" s="15">
        <f t="shared" si="5"/>
        <v>-5.9439429730283564</v>
      </c>
      <c r="Q37" s="183">
        <f t="shared" si="6"/>
        <v>0.9566587491550016</v>
      </c>
      <c r="R37" s="616"/>
      <c r="S37" s="32"/>
      <c r="T37" s="32"/>
      <c r="U37" s="182"/>
      <c r="V37" s="186"/>
      <c r="W37" s="182"/>
      <c r="X37" s="182"/>
      <c r="Y37" s="22">
        <f>SUM(Y29:Y36)</f>
        <v>0</v>
      </c>
      <c r="Z37" s="22">
        <f>SUM(Z29:Z36)</f>
        <v>0</v>
      </c>
      <c r="AA37" s="611"/>
      <c r="AB37" s="611"/>
      <c r="AC37" s="22">
        <v>8</v>
      </c>
      <c r="AD37" s="22">
        <f>SUM(AD29:AD36)</f>
        <v>0</v>
      </c>
      <c r="AE37" s="14">
        <f t="shared" si="8"/>
        <v>-104.01900202799652</v>
      </c>
      <c r="AF37" s="183">
        <f t="shared" si="9"/>
        <v>0.95665874915500149</v>
      </c>
      <c r="AG37" s="616"/>
    </row>
    <row r="38" spans="1:33" ht="15.75" customHeight="1">
      <c r="A38" s="629" t="s">
        <v>730</v>
      </c>
      <c r="B38" s="27" t="s">
        <v>20</v>
      </c>
      <c r="C38" s="660" t="s">
        <v>58</v>
      </c>
      <c r="D38" s="660"/>
      <c r="E38" s="27">
        <v>26.18</v>
      </c>
      <c r="F38" s="187">
        <v>6527</v>
      </c>
      <c r="G38" s="182">
        <f t="shared" ref="G38:G44" si="27">E38*F38</f>
        <v>170876.86</v>
      </c>
      <c r="H38" s="31" t="s">
        <v>40</v>
      </c>
      <c r="I38" s="185">
        <v>20</v>
      </c>
      <c r="J38" s="29">
        <v>2400</v>
      </c>
      <c r="K38" s="12">
        <f t="shared" si="1"/>
        <v>120</v>
      </c>
      <c r="L38" s="185">
        <v>20</v>
      </c>
      <c r="M38" s="13">
        <f t="shared" ref="M38:M44" si="28">F38/V38*60</f>
        <v>2290.1754385964909</v>
      </c>
      <c r="N38" s="12">
        <f t="shared" si="3"/>
        <v>114.50877192982455</v>
      </c>
      <c r="O38" s="14">
        <f t="shared" si="4"/>
        <v>0</v>
      </c>
      <c r="P38" s="15">
        <f t="shared" si="5"/>
        <v>-5.4912280701754526</v>
      </c>
      <c r="Q38" s="183">
        <f t="shared" si="6"/>
        <v>0.95423976608187122</v>
      </c>
      <c r="R38" s="616">
        <f>Q45</f>
        <v>0.95547808738830153</v>
      </c>
      <c r="S38" s="32">
        <v>8.3333333333333329E-2</v>
      </c>
      <c r="T38" s="32">
        <v>0.20208333333333334</v>
      </c>
      <c r="U38" s="182"/>
      <c r="V38" s="186">
        <f t="shared" ref="V38:V44" si="29">(T38-S38)*24*60</f>
        <v>171</v>
      </c>
      <c r="W38" s="20">
        <f>T38</f>
        <v>0.20208333333333334</v>
      </c>
      <c r="X38" s="20">
        <f>S39</f>
        <v>0.22013888888888888</v>
      </c>
      <c r="Y38" s="20"/>
      <c r="Z38" s="20"/>
      <c r="AA38" s="612"/>
      <c r="AB38" s="612"/>
      <c r="AC38" s="136">
        <v>7</v>
      </c>
      <c r="AD38" s="18"/>
      <c r="AE38" s="14">
        <f t="shared" si="8"/>
        <v>-109.82456140350905</v>
      </c>
      <c r="AF38" s="183">
        <f t="shared" si="9"/>
        <v>0.95423976608187122</v>
      </c>
      <c r="AG38" s="616">
        <f>AF45</f>
        <v>0.95547808738830142</v>
      </c>
    </row>
    <row r="39" spans="1:33" ht="15.75" customHeight="1">
      <c r="A39" s="629" t="s">
        <v>730</v>
      </c>
      <c r="B39" s="27" t="s">
        <v>20</v>
      </c>
      <c r="C39" s="660" t="s">
        <v>25</v>
      </c>
      <c r="D39" s="660"/>
      <c r="E39" s="27">
        <v>24.43</v>
      </c>
      <c r="F39" s="187">
        <v>2800</v>
      </c>
      <c r="G39" s="182">
        <f t="shared" si="27"/>
        <v>68404</v>
      </c>
      <c r="H39" s="31">
        <v>2</v>
      </c>
      <c r="I39" s="185">
        <v>14</v>
      </c>
      <c r="J39" s="29">
        <v>2400</v>
      </c>
      <c r="K39" s="12">
        <f t="shared" si="1"/>
        <v>171.42857142857142</v>
      </c>
      <c r="L39" s="185">
        <v>14</v>
      </c>
      <c r="M39" s="13">
        <f t="shared" si="28"/>
        <v>2301.3698630136987</v>
      </c>
      <c r="N39" s="12">
        <f t="shared" si="3"/>
        <v>164.38356164383563</v>
      </c>
      <c r="O39" s="14">
        <f t="shared" si="4"/>
        <v>0</v>
      </c>
      <c r="P39" s="15">
        <f t="shared" si="5"/>
        <v>-7.0450097847357824</v>
      </c>
      <c r="Q39" s="183">
        <f t="shared" si="6"/>
        <v>0.95890410958904126</v>
      </c>
      <c r="R39" s="616"/>
      <c r="S39" s="32">
        <v>0.22013888888888888</v>
      </c>
      <c r="T39" s="32">
        <v>0.27083333333333331</v>
      </c>
      <c r="U39" s="182">
        <f t="shared" ref="U39:U44" si="30">(S39-T38)*24*60</f>
        <v>25.999999999999986</v>
      </c>
      <c r="V39" s="186">
        <f t="shared" si="29"/>
        <v>72.999999999999986</v>
      </c>
      <c r="W39" s="182"/>
      <c r="X39" s="182"/>
      <c r="Y39" s="182"/>
      <c r="Z39" s="182"/>
      <c r="AA39" s="612"/>
      <c r="AB39" s="612"/>
      <c r="AC39" s="136"/>
      <c r="AD39" s="18"/>
      <c r="AE39" s="14">
        <f t="shared" si="8"/>
        <v>-98.630136986301295</v>
      </c>
      <c r="AF39" s="183">
        <f t="shared" si="9"/>
        <v>0.95890410958904115</v>
      </c>
      <c r="AG39" s="616"/>
    </row>
    <row r="40" spans="1:33">
      <c r="A40" s="630" t="s">
        <v>730</v>
      </c>
      <c r="B40" s="27" t="s">
        <v>20</v>
      </c>
      <c r="C40" s="660" t="s">
        <v>83</v>
      </c>
      <c r="D40" s="660"/>
      <c r="E40" s="27">
        <v>25.98</v>
      </c>
      <c r="F40" s="187">
        <v>4326</v>
      </c>
      <c r="G40" s="182">
        <f t="shared" si="27"/>
        <v>112389.48</v>
      </c>
      <c r="H40" s="31" t="s">
        <v>40</v>
      </c>
      <c r="I40" s="185">
        <v>20</v>
      </c>
      <c r="J40" s="29">
        <v>2400</v>
      </c>
      <c r="K40" s="12">
        <f t="shared" si="1"/>
        <v>120</v>
      </c>
      <c r="L40" s="185">
        <v>20</v>
      </c>
      <c r="M40" s="13">
        <f t="shared" si="28"/>
        <v>2296.9911504424781</v>
      </c>
      <c r="N40" s="12">
        <f t="shared" si="3"/>
        <v>114.8495575221239</v>
      </c>
      <c r="O40" s="14">
        <f t="shared" si="4"/>
        <v>0</v>
      </c>
      <c r="P40" s="15">
        <f t="shared" si="5"/>
        <v>-5.1504424778760978</v>
      </c>
      <c r="Q40" s="183">
        <f t="shared" si="6"/>
        <v>0.95707964601769924</v>
      </c>
      <c r="R40" s="616"/>
      <c r="S40" s="32">
        <v>0.27638888888888885</v>
      </c>
      <c r="T40" s="32">
        <v>0.35486111111111107</v>
      </c>
      <c r="U40" s="182">
        <f t="shared" si="30"/>
        <v>7.9999999999999716</v>
      </c>
      <c r="V40" s="186">
        <f t="shared" si="29"/>
        <v>113</v>
      </c>
      <c r="W40" s="182"/>
      <c r="X40" s="182"/>
      <c r="Y40" s="182"/>
      <c r="Z40" s="182"/>
      <c r="AA40" s="612"/>
      <c r="AB40" s="612"/>
      <c r="AC40" s="136"/>
      <c r="AD40" s="18"/>
      <c r="AE40" s="14">
        <f t="shared" si="8"/>
        <v>-103.0088495575219</v>
      </c>
      <c r="AF40" s="183">
        <f t="shared" si="9"/>
        <v>0.95707964601769924</v>
      </c>
      <c r="AG40" s="616"/>
    </row>
    <row r="41" spans="1:33">
      <c r="A41" s="630" t="s">
        <v>730</v>
      </c>
      <c r="B41" s="27" t="s">
        <v>20</v>
      </c>
      <c r="C41" s="660" t="s">
        <v>26</v>
      </c>
      <c r="D41" s="660"/>
      <c r="E41" s="27">
        <v>34.1</v>
      </c>
      <c r="F41" s="187">
        <v>3800</v>
      </c>
      <c r="G41" s="182">
        <f t="shared" si="27"/>
        <v>129580</v>
      </c>
      <c r="H41" s="31">
        <v>2</v>
      </c>
      <c r="I41" s="185">
        <v>17</v>
      </c>
      <c r="J41" s="29">
        <v>1600</v>
      </c>
      <c r="K41" s="12">
        <f t="shared" si="1"/>
        <v>94.117647058823536</v>
      </c>
      <c r="L41" s="185">
        <v>17</v>
      </c>
      <c r="M41" s="13">
        <f t="shared" si="28"/>
        <v>1530.2013422818789</v>
      </c>
      <c r="N41" s="12">
        <f t="shared" si="3"/>
        <v>90.011843663639937</v>
      </c>
      <c r="O41" s="14">
        <f t="shared" si="4"/>
        <v>0</v>
      </c>
      <c r="P41" s="15">
        <f t="shared" si="5"/>
        <v>-4.1058033951835995</v>
      </c>
      <c r="Q41" s="183">
        <f t="shared" si="6"/>
        <v>0.95637583892617428</v>
      </c>
      <c r="R41" s="616"/>
      <c r="S41" s="32">
        <v>0.36041666666666661</v>
      </c>
      <c r="T41" s="32">
        <v>0.46388888888888885</v>
      </c>
      <c r="U41" s="182">
        <f t="shared" si="30"/>
        <v>7.9999999999999716</v>
      </c>
      <c r="V41" s="186">
        <f t="shared" si="29"/>
        <v>149.00000000000003</v>
      </c>
      <c r="W41" s="16"/>
      <c r="X41" s="16"/>
      <c r="Y41" s="16"/>
      <c r="Z41" s="16"/>
      <c r="AA41" s="612"/>
      <c r="AB41" s="612"/>
      <c r="AC41" s="136"/>
      <c r="AD41" s="18"/>
      <c r="AE41" s="14">
        <f t="shared" si="8"/>
        <v>-69.798657718121149</v>
      </c>
      <c r="AF41" s="183">
        <f t="shared" si="9"/>
        <v>0.95637583892617428</v>
      </c>
      <c r="AG41" s="616"/>
    </row>
    <row r="42" spans="1:33">
      <c r="A42" s="630" t="s">
        <v>730</v>
      </c>
      <c r="B42" s="27" t="s">
        <v>20</v>
      </c>
      <c r="C42" s="660" t="s">
        <v>59</v>
      </c>
      <c r="D42" s="660"/>
      <c r="E42" s="27">
        <v>25.99</v>
      </c>
      <c r="F42" s="187">
        <v>1677</v>
      </c>
      <c r="G42" s="182">
        <f t="shared" si="27"/>
        <v>43585.229999999996</v>
      </c>
      <c r="H42" s="31" t="s">
        <v>40</v>
      </c>
      <c r="I42" s="185">
        <v>18</v>
      </c>
      <c r="J42" s="29">
        <v>2400</v>
      </c>
      <c r="K42" s="12">
        <f t="shared" si="1"/>
        <v>133.33333333333334</v>
      </c>
      <c r="L42" s="185">
        <v>18</v>
      </c>
      <c r="M42" s="13">
        <f t="shared" si="28"/>
        <v>2286.818181818182</v>
      </c>
      <c r="N42" s="12">
        <f t="shared" si="3"/>
        <v>127.04545454545456</v>
      </c>
      <c r="O42" s="14">
        <f t="shared" si="4"/>
        <v>0</v>
      </c>
      <c r="P42" s="15">
        <f t="shared" si="5"/>
        <v>-6.2878787878787818</v>
      </c>
      <c r="Q42" s="183">
        <f t="shared" si="6"/>
        <v>0.95284090909090913</v>
      </c>
      <c r="R42" s="616"/>
      <c r="S42" s="32">
        <v>0.4680555555555555</v>
      </c>
      <c r="T42" s="32">
        <v>0.49861111111111106</v>
      </c>
      <c r="U42" s="182">
        <f t="shared" si="30"/>
        <v>5.9999999999999787</v>
      </c>
      <c r="V42" s="186">
        <f t="shared" si="29"/>
        <v>44</v>
      </c>
      <c r="W42" s="16">
        <f>T42</f>
        <v>0.49861111111111106</v>
      </c>
      <c r="X42" s="16">
        <f>S43</f>
        <v>0.53749999999999998</v>
      </c>
      <c r="Y42" s="16"/>
      <c r="Z42" s="16"/>
      <c r="AA42" s="612"/>
      <c r="AB42" s="612"/>
      <c r="AC42" s="136"/>
      <c r="AD42" s="18"/>
      <c r="AE42" s="14">
        <f t="shared" si="8"/>
        <v>-113.18181818181802</v>
      </c>
      <c r="AF42" s="183">
        <f t="shared" si="9"/>
        <v>0.95284090909090913</v>
      </c>
      <c r="AG42" s="616"/>
    </row>
    <row r="43" spans="1:33">
      <c r="A43" s="630" t="s">
        <v>730</v>
      </c>
      <c r="B43" s="27" t="s">
        <v>20</v>
      </c>
      <c r="C43" s="660" t="s">
        <v>25</v>
      </c>
      <c r="D43" s="660"/>
      <c r="E43" s="27">
        <v>24.43</v>
      </c>
      <c r="F43" s="187">
        <v>4525</v>
      </c>
      <c r="G43" s="182">
        <f t="shared" si="27"/>
        <v>110545.75</v>
      </c>
      <c r="H43" s="31" t="s">
        <v>40</v>
      </c>
      <c r="I43" s="185">
        <v>14</v>
      </c>
      <c r="J43" s="29">
        <v>2400</v>
      </c>
      <c r="K43" s="12">
        <f t="shared" si="1"/>
        <v>171.42857142857142</v>
      </c>
      <c r="L43" s="185">
        <v>14</v>
      </c>
      <c r="M43" s="13">
        <f t="shared" si="28"/>
        <v>2281.5126050420158</v>
      </c>
      <c r="N43" s="12">
        <f t="shared" si="3"/>
        <v>162.96518607442971</v>
      </c>
      <c r="O43" s="14">
        <f t="shared" si="4"/>
        <v>0</v>
      </c>
      <c r="P43" s="15">
        <f t="shared" si="5"/>
        <v>-8.4633853541417068</v>
      </c>
      <c r="Q43" s="183">
        <f t="shared" si="6"/>
        <v>0.95063025210084007</v>
      </c>
      <c r="R43" s="616"/>
      <c r="S43" s="32">
        <v>0.53749999999999998</v>
      </c>
      <c r="T43" s="32">
        <v>0.62013888888888891</v>
      </c>
      <c r="U43" s="182">
        <f t="shared" si="30"/>
        <v>56.000000000000043</v>
      </c>
      <c r="V43" s="186">
        <f t="shared" si="29"/>
        <v>119.00000000000006</v>
      </c>
      <c r="W43" s="16"/>
      <c r="X43" s="16"/>
      <c r="Y43" s="16"/>
      <c r="Z43" s="16"/>
      <c r="AA43" s="612"/>
      <c r="AB43" s="612"/>
      <c r="AC43" s="136"/>
      <c r="AD43" s="18"/>
      <c r="AE43" s="14">
        <f t="shared" si="8"/>
        <v>-118.48739495798418</v>
      </c>
      <c r="AF43" s="183">
        <f t="shared" si="9"/>
        <v>0.95063025210083996</v>
      </c>
      <c r="AG43" s="616"/>
    </row>
    <row r="44" spans="1:33">
      <c r="A44" s="630" t="s">
        <v>730</v>
      </c>
      <c r="B44" s="27" t="s">
        <v>20</v>
      </c>
      <c r="C44" s="660" t="s">
        <v>26</v>
      </c>
      <c r="D44" s="660"/>
      <c r="E44" s="27">
        <v>34.1</v>
      </c>
      <c r="F44" s="187">
        <v>3098</v>
      </c>
      <c r="G44" s="182">
        <f t="shared" si="27"/>
        <v>105641.8</v>
      </c>
      <c r="H44" s="31" t="s">
        <v>40</v>
      </c>
      <c r="I44" s="185">
        <v>17</v>
      </c>
      <c r="J44" s="29">
        <v>1600</v>
      </c>
      <c r="K44" s="12">
        <f t="shared" si="1"/>
        <v>94.117647058823536</v>
      </c>
      <c r="L44" s="185">
        <v>17</v>
      </c>
      <c r="M44" s="13">
        <f t="shared" si="28"/>
        <v>1536.1983471074373</v>
      </c>
      <c r="N44" s="12">
        <f t="shared" si="3"/>
        <v>90.364608653378667</v>
      </c>
      <c r="O44" s="14">
        <f t="shared" si="4"/>
        <v>0</v>
      </c>
      <c r="P44" s="15">
        <f t="shared" si="5"/>
        <v>-3.7530384054448689</v>
      </c>
      <c r="Q44" s="183">
        <f t="shared" si="6"/>
        <v>0.9601239669421483</v>
      </c>
      <c r="R44" s="616"/>
      <c r="S44" s="32">
        <v>0.62430555555555556</v>
      </c>
      <c r="T44" s="32">
        <v>0.70833333333333337</v>
      </c>
      <c r="U44" s="182">
        <f t="shared" si="30"/>
        <v>5.9999999999999787</v>
      </c>
      <c r="V44" s="186">
        <f t="shared" si="29"/>
        <v>121.00000000000006</v>
      </c>
      <c r="W44" s="16"/>
      <c r="X44" s="16"/>
      <c r="Y44" s="19"/>
      <c r="Z44" s="19"/>
      <c r="AA44" s="607"/>
      <c r="AB44" s="608"/>
      <c r="AC44" s="136"/>
      <c r="AD44" s="18"/>
      <c r="AE44" s="14">
        <f t="shared" si="8"/>
        <v>-63.801652892562743</v>
      </c>
      <c r="AF44" s="183">
        <f t="shared" si="9"/>
        <v>0.9601239669421483</v>
      </c>
      <c r="AG44" s="616"/>
    </row>
    <row r="45" spans="1:33">
      <c r="A45" s="630" t="s">
        <v>730</v>
      </c>
      <c r="B45" s="28" t="s">
        <v>725</v>
      </c>
      <c r="C45" s="658"/>
      <c r="D45" s="658"/>
      <c r="E45" s="184"/>
      <c r="F45" s="28"/>
      <c r="G45" s="12"/>
      <c r="H45" s="187"/>
      <c r="I45" s="21">
        <v>17.142857142857142</v>
      </c>
      <c r="J45" s="29">
        <v>2171.4285714285716</v>
      </c>
      <c r="K45" s="12">
        <f t="shared" si="1"/>
        <v>126.66666666666667</v>
      </c>
      <c r="L45" s="21">
        <v>17.142857142857142</v>
      </c>
      <c r="M45" s="13">
        <f>AVERAGE(M38:M44)</f>
        <v>2074.7524183288833</v>
      </c>
      <c r="N45" s="12">
        <f t="shared" si="3"/>
        <v>121.0272244025182</v>
      </c>
      <c r="O45" s="14">
        <f t="shared" si="4"/>
        <v>0</v>
      </c>
      <c r="P45" s="15">
        <f t="shared" si="5"/>
        <v>-5.6394422641484709</v>
      </c>
      <c r="Q45" s="183">
        <f t="shared" si="6"/>
        <v>0.95547808738830153</v>
      </c>
      <c r="R45" s="616"/>
      <c r="S45" s="32"/>
      <c r="T45" s="32"/>
      <c r="U45" s="12"/>
      <c r="V45" s="186"/>
      <c r="W45" s="12"/>
      <c r="X45" s="12"/>
      <c r="Y45" s="22">
        <f>SUM(Y38:Y44)</f>
        <v>0</v>
      </c>
      <c r="Z45" s="22">
        <f>SUM(Z38:Z44)</f>
        <v>0</v>
      </c>
      <c r="AA45" s="611"/>
      <c r="AB45" s="611"/>
      <c r="AC45" s="22">
        <v>7</v>
      </c>
      <c r="AD45" s="22">
        <f>SUM(AD38:AD44)</f>
        <v>0</v>
      </c>
      <c r="AE45" s="14">
        <f t="shared" si="8"/>
        <v>-96.676153099688236</v>
      </c>
      <c r="AF45" s="183">
        <f t="shared" si="9"/>
        <v>0.95547808738830142</v>
      </c>
      <c r="AG45" s="616"/>
    </row>
    <row r="46" spans="1:33" ht="15.75" customHeight="1">
      <c r="A46" s="623" t="s">
        <v>731</v>
      </c>
      <c r="B46" s="27" t="s">
        <v>27</v>
      </c>
      <c r="C46" s="605" t="s">
        <v>33</v>
      </c>
      <c r="D46" s="606"/>
      <c r="E46" s="27">
        <v>34.36</v>
      </c>
      <c r="F46" s="187">
        <v>2454</v>
      </c>
      <c r="G46" s="182">
        <f t="shared" ref="G46:G49" si="31">E46*F46</f>
        <v>84319.44</v>
      </c>
      <c r="H46" s="31" t="s">
        <v>40</v>
      </c>
      <c r="I46" s="185">
        <v>10</v>
      </c>
      <c r="J46" s="29">
        <v>3000</v>
      </c>
      <c r="K46" s="12">
        <f t="shared" si="1"/>
        <v>300</v>
      </c>
      <c r="L46" s="185">
        <v>10</v>
      </c>
      <c r="M46" s="13">
        <f t="shared" ref="M46:M49" si="32">F46/V46*60</f>
        <v>2887.0588235294103</v>
      </c>
      <c r="N46" s="13">
        <f t="shared" si="3"/>
        <v>288.70588235294105</v>
      </c>
      <c r="O46" s="14">
        <f t="shared" si="4"/>
        <v>0</v>
      </c>
      <c r="P46" s="15">
        <f t="shared" si="5"/>
        <v>-11.294117647058954</v>
      </c>
      <c r="Q46" s="183">
        <f t="shared" si="6"/>
        <v>0.96235294117647019</v>
      </c>
      <c r="R46" s="626">
        <f>Q50</f>
        <v>0.95704334844173888</v>
      </c>
      <c r="S46" s="32">
        <v>0.20833333333333334</v>
      </c>
      <c r="T46" s="32">
        <v>0.24375000000000002</v>
      </c>
      <c r="U46" s="20"/>
      <c r="V46" s="186">
        <f t="shared" ref="V46:V49" si="33">(T46-S46)*24*60</f>
        <v>51.000000000000021</v>
      </c>
      <c r="W46" s="16"/>
      <c r="X46" s="16"/>
      <c r="Y46" s="19"/>
      <c r="Z46" s="19"/>
      <c r="AA46" s="607"/>
      <c r="AB46" s="608"/>
      <c r="AC46" s="136">
        <v>4</v>
      </c>
      <c r="AD46" s="18"/>
      <c r="AE46" s="14">
        <f t="shared" si="8"/>
        <v>-112.94117647058965</v>
      </c>
      <c r="AF46" s="183">
        <f t="shared" si="9"/>
        <v>0.96235294117647008</v>
      </c>
      <c r="AG46" s="626">
        <f>AF50</f>
        <v>0.95704334844173888</v>
      </c>
    </row>
    <row r="47" spans="1:33" ht="15.75" customHeight="1">
      <c r="A47" s="624" t="s">
        <v>731</v>
      </c>
      <c r="B47" s="27" t="s">
        <v>27</v>
      </c>
      <c r="C47" s="605" t="s">
        <v>29</v>
      </c>
      <c r="D47" s="606"/>
      <c r="E47" s="27">
        <v>21.13</v>
      </c>
      <c r="F47" s="187">
        <v>6485</v>
      </c>
      <c r="G47" s="182">
        <f t="shared" si="31"/>
        <v>137028.04999999999</v>
      </c>
      <c r="H47" s="31" t="s">
        <v>40</v>
      </c>
      <c r="I47" s="185">
        <v>10</v>
      </c>
      <c r="J47" s="29">
        <v>3000</v>
      </c>
      <c r="K47" s="12">
        <f t="shared" si="1"/>
        <v>300</v>
      </c>
      <c r="L47" s="185">
        <v>10</v>
      </c>
      <c r="M47" s="13">
        <f t="shared" si="32"/>
        <v>2861.0294117647068</v>
      </c>
      <c r="N47" s="13">
        <f t="shared" si="3"/>
        <v>286.10294117647067</v>
      </c>
      <c r="O47" s="14">
        <f t="shared" si="4"/>
        <v>0</v>
      </c>
      <c r="P47" s="15">
        <f t="shared" si="5"/>
        <v>-13.897058823529335</v>
      </c>
      <c r="Q47" s="183">
        <f t="shared" si="6"/>
        <v>0.95367647058823557</v>
      </c>
      <c r="R47" s="627"/>
      <c r="S47" s="32">
        <v>0.24861111111111114</v>
      </c>
      <c r="T47" s="32">
        <v>0.34305555555555556</v>
      </c>
      <c r="U47" s="182">
        <f t="shared" ref="U47:U49" si="34">(S47-T46)*24*60</f>
        <v>7.0000000000000151</v>
      </c>
      <c r="V47" s="186">
        <f t="shared" si="33"/>
        <v>135.99999999999994</v>
      </c>
      <c r="W47" s="16"/>
      <c r="X47" s="16"/>
      <c r="Y47" s="19"/>
      <c r="Z47" s="19"/>
      <c r="AA47" s="607"/>
      <c r="AB47" s="608"/>
      <c r="AC47" s="136"/>
      <c r="AD47" s="18"/>
      <c r="AE47" s="14">
        <f t="shared" si="8"/>
        <v>-138.97058823529323</v>
      </c>
      <c r="AF47" s="183">
        <f t="shared" si="9"/>
        <v>0.95367647058823557</v>
      </c>
      <c r="AG47" s="627"/>
    </row>
    <row r="48" spans="1:33" ht="15.75" customHeight="1">
      <c r="A48" s="624" t="s">
        <v>731</v>
      </c>
      <c r="B48" s="27" t="s">
        <v>27</v>
      </c>
      <c r="C48" s="605" t="s">
        <v>30</v>
      </c>
      <c r="D48" s="606"/>
      <c r="E48" s="27">
        <v>27.17</v>
      </c>
      <c r="F48" s="187">
        <v>6057</v>
      </c>
      <c r="G48" s="182">
        <f t="shared" si="31"/>
        <v>164568.69</v>
      </c>
      <c r="H48" s="31" t="s">
        <v>40</v>
      </c>
      <c r="I48" s="185">
        <v>10</v>
      </c>
      <c r="J48" s="29">
        <v>3000</v>
      </c>
      <c r="K48" s="12">
        <f t="shared" si="1"/>
        <v>300</v>
      </c>
      <c r="L48" s="185">
        <v>10</v>
      </c>
      <c r="M48" s="13">
        <f t="shared" si="32"/>
        <v>2861.5748031496059</v>
      </c>
      <c r="N48" s="13">
        <f t="shared" si="3"/>
        <v>286.15748031496059</v>
      </c>
      <c r="O48" s="14">
        <f t="shared" si="4"/>
        <v>0</v>
      </c>
      <c r="P48" s="15">
        <f t="shared" si="5"/>
        <v>-13.842519685039406</v>
      </c>
      <c r="Q48" s="183">
        <f t="shared" si="6"/>
        <v>0.95385826771653537</v>
      </c>
      <c r="R48" s="627"/>
      <c r="S48" s="32">
        <v>0.34722222222222221</v>
      </c>
      <c r="T48" s="32">
        <v>0.43541666666666667</v>
      </c>
      <c r="U48" s="182">
        <f t="shared" si="34"/>
        <v>5.9999999999999787</v>
      </c>
      <c r="V48" s="186">
        <f t="shared" si="33"/>
        <v>127.00000000000003</v>
      </c>
      <c r="W48" s="16"/>
      <c r="X48" s="16"/>
      <c r="Y48" s="19"/>
      <c r="Z48" s="19"/>
      <c r="AA48" s="607"/>
      <c r="AB48" s="608"/>
      <c r="AC48" s="136"/>
      <c r="AD48" s="18"/>
      <c r="AE48" s="14">
        <f t="shared" si="8"/>
        <v>-138.42519685039406</v>
      </c>
      <c r="AF48" s="183">
        <f t="shared" si="9"/>
        <v>0.95385826771653537</v>
      </c>
      <c r="AG48" s="627"/>
    </row>
    <row r="49" spans="1:33" ht="15.75" customHeight="1">
      <c r="A49" s="624" t="s">
        <v>731</v>
      </c>
      <c r="B49" s="27" t="s">
        <v>27</v>
      </c>
      <c r="C49" s="605" t="s">
        <v>35</v>
      </c>
      <c r="D49" s="606"/>
      <c r="E49" s="27">
        <v>35.869999999999997</v>
      </c>
      <c r="F49" s="187">
        <v>3354</v>
      </c>
      <c r="G49" s="182">
        <f t="shared" si="31"/>
        <v>120307.98</v>
      </c>
      <c r="H49" s="31" t="s">
        <v>40</v>
      </c>
      <c r="I49" s="185">
        <v>9</v>
      </c>
      <c r="J49" s="29">
        <v>3000</v>
      </c>
      <c r="K49" s="12">
        <f t="shared" si="1"/>
        <v>333.33333333333331</v>
      </c>
      <c r="L49" s="185">
        <v>9</v>
      </c>
      <c r="M49" s="13">
        <f t="shared" si="32"/>
        <v>2874.8571428571436</v>
      </c>
      <c r="N49" s="13">
        <f t="shared" si="3"/>
        <v>319.4285714285715</v>
      </c>
      <c r="O49" s="14">
        <f t="shared" si="4"/>
        <v>0</v>
      </c>
      <c r="P49" s="15">
        <f t="shared" si="5"/>
        <v>-13.904761904761813</v>
      </c>
      <c r="Q49" s="183">
        <f t="shared" si="6"/>
        <v>0.95828571428571452</v>
      </c>
      <c r="R49" s="627"/>
      <c r="S49" s="32">
        <v>0.43888888888888888</v>
      </c>
      <c r="T49" s="32">
        <v>0.48749999999999999</v>
      </c>
      <c r="U49" s="182">
        <f t="shared" si="34"/>
        <v>4.9999999999999822</v>
      </c>
      <c r="V49" s="186">
        <f t="shared" si="33"/>
        <v>69.999999999999986</v>
      </c>
      <c r="W49" s="16"/>
      <c r="X49" s="16"/>
      <c r="Y49" s="19"/>
      <c r="Z49" s="19"/>
      <c r="AA49" s="607"/>
      <c r="AB49" s="608"/>
      <c r="AC49" s="136"/>
      <c r="AD49" s="18"/>
      <c r="AE49" s="14">
        <f t="shared" si="8"/>
        <v>-125.14285714285643</v>
      </c>
      <c r="AF49" s="183">
        <f t="shared" si="9"/>
        <v>0.95828571428571452</v>
      </c>
      <c r="AG49" s="627"/>
    </row>
    <row r="50" spans="1:33" ht="15.75" customHeight="1">
      <c r="A50" s="625" t="s">
        <v>731</v>
      </c>
      <c r="B50" s="27" t="s">
        <v>725</v>
      </c>
      <c r="C50" s="609"/>
      <c r="D50" s="610"/>
      <c r="E50" s="180"/>
      <c r="F50" s="187"/>
      <c r="G50" s="182"/>
      <c r="H50" s="187"/>
      <c r="I50" s="21">
        <v>9.75</v>
      </c>
      <c r="J50" s="29">
        <v>3000</v>
      </c>
      <c r="K50" s="12">
        <f t="shared" si="1"/>
        <v>307.69230769230768</v>
      </c>
      <c r="L50" s="21">
        <v>9.75</v>
      </c>
      <c r="M50" s="13">
        <f>AVERAGE(M46:M49)</f>
        <v>2871.1300453252165</v>
      </c>
      <c r="N50" s="12">
        <f t="shared" si="3"/>
        <v>294.47487644361195</v>
      </c>
      <c r="O50" s="14">
        <f t="shared" si="4"/>
        <v>0</v>
      </c>
      <c r="P50" s="15">
        <f t="shared" si="5"/>
        <v>-13.217431248695732</v>
      </c>
      <c r="Q50" s="183">
        <f t="shared" si="6"/>
        <v>0.95704334844173888</v>
      </c>
      <c r="R50" s="628"/>
      <c r="S50" s="32"/>
      <c r="T50" s="32"/>
      <c r="U50" s="182"/>
      <c r="V50" s="186"/>
      <c r="W50" s="16"/>
      <c r="X50" s="16"/>
      <c r="Y50" s="22">
        <f>SUM(Y46:Y49)</f>
        <v>0</v>
      </c>
      <c r="Z50" s="22">
        <f>SUM(Z46:Z49)</f>
        <v>0</v>
      </c>
      <c r="AA50" s="619"/>
      <c r="AB50" s="620"/>
      <c r="AC50" s="22">
        <v>4</v>
      </c>
      <c r="AD50" s="22">
        <f>SUM(AD46:AD49)</f>
        <v>0</v>
      </c>
      <c r="AE50" s="14">
        <f t="shared" si="8"/>
        <v>-128.86995467478346</v>
      </c>
      <c r="AF50" s="183">
        <f t="shared" si="9"/>
        <v>0.95704334844173888</v>
      </c>
      <c r="AG50" s="628"/>
    </row>
    <row r="51" spans="1:33" ht="15.75" customHeight="1">
      <c r="A51" s="621" t="s">
        <v>732</v>
      </c>
      <c r="B51" s="27" t="s">
        <v>5</v>
      </c>
      <c r="C51" s="660" t="s">
        <v>15</v>
      </c>
      <c r="D51" s="660"/>
      <c r="E51" s="27">
        <v>59.04</v>
      </c>
      <c r="F51" s="30">
        <v>2515</v>
      </c>
      <c r="G51" s="182">
        <f t="shared" ref="G51:G57" si="35">E51*F51</f>
        <v>148485.6</v>
      </c>
      <c r="H51" s="31" t="s">
        <v>40</v>
      </c>
      <c r="I51" s="185">
        <v>19</v>
      </c>
      <c r="J51" s="29">
        <v>2000</v>
      </c>
      <c r="K51" s="12">
        <f t="shared" si="1"/>
        <v>105.26315789473684</v>
      </c>
      <c r="L51" s="185">
        <v>19</v>
      </c>
      <c r="M51" s="13">
        <f t="shared" ref="M51" si="36">F51/V51*60</f>
        <v>1910.126582278481</v>
      </c>
      <c r="N51" s="13">
        <f t="shared" si="3"/>
        <v>100.53297801465689</v>
      </c>
      <c r="O51" s="14">
        <f t="shared" si="4"/>
        <v>0</v>
      </c>
      <c r="P51" s="15">
        <f t="shared" si="5"/>
        <v>-4.7301798800799446</v>
      </c>
      <c r="Q51" s="183">
        <f t="shared" si="6"/>
        <v>0.95506329113924049</v>
      </c>
      <c r="R51" s="616">
        <f>Q58</f>
        <v>0.96005531556024781</v>
      </c>
      <c r="S51" s="32">
        <v>0.20833333333333334</v>
      </c>
      <c r="T51" s="32">
        <v>0.26319444444444445</v>
      </c>
      <c r="U51" s="20"/>
      <c r="V51" s="186">
        <f t="shared" ref="V51:V57" si="37">(T51-S51)*24*60</f>
        <v>79</v>
      </c>
      <c r="W51" s="16"/>
      <c r="X51" s="16"/>
      <c r="Y51" s="20"/>
      <c r="Z51" s="20"/>
      <c r="AA51" s="612"/>
      <c r="AB51" s="612"/>
      <c r="AC51" s="136">
        <v>7</v>
      </c>
      <c r="AD51" s="18"/>
      <c r="AE51" s="14">
        <f t="shared" si="8"/>
        <v>-89.87341772151899</v>
      </c>
      <c r="AF51" s="183">
        <f t="shared" si="9"/>
        <v>0.95506329113924049</v>
      </c>
      <c r="AG51" s="616">
        <f>AF58</f>
        <v>0.96005531556024781</v>
      </c>
    </row>
    <row r="52" spans="1:33" ht="15.75" customHeight="1">
      <c r="A52" s="621" t="s">
        <v>733</v>
      </c>
      <c r="B52" s="27" t="s">
        <v>5</v>
      </c>
      <c r="C52" s="660" t="s">
        <v>31</v>
      </c>
      <c r="D52" s="660"/>
      <c r="E52" s="27">
        <v>56.43</v>
      </c>
      <c r="F52" s="30">
        <v>1516</v>
      </c>
      <c r="G52" s="182">
        <f t="shared" si="35"/>
        <v>85547.88</v>
      </c>
      <c r="H52" s="31" t="s">
        <v>40</v>
      </c>
      <c r="I52" s="185">
        <v>22</v>
      </c>
      <c r="J52" s="29">
        <v>2000</v>
      </c>
      <c r="K52" s="12">
        <f t="shared" si="1"/>
        <v>90.909090909090907</v>
      </c>
      <c r="L52" s="185">
        <v>22</v>
      </c>
      <c r="M52" s="13">
        <f>F52/V52*60</f>
        <v>1935.3191489361704</v>
      </c>
      <c r="N52" s="13">
        <f t="shared" si="3"/>
        <v>87.969052224371381</v>
      </c>
      <c r="O52" s="14">
        <f t="shared" si="4"/>
        <v>0</v>
      </c>
      <c r="P52" s="15">
        <f t="shared" si="5"/>
        <v>-2.940038684719525</v>
      </c>
      <c r="Q52" s="183">
        <f t="shared" si="6"/>
        <v>0.96765957446808526</v>
      </c>
      <c r="R52" s="616"/>
      <c r="S52" s="32">
        <v>0.26805555555555555</v>
      </c>
      <c r="T52" s="32">
        <v>0.30069444444444443</v>
      </c>
      <c r="U52" s="182">
        <f t="shared" ref="U52:U57" si="38">IF(S52=TIME(17,0,0),"",(S52-T51)*24*60)</f>
        <v>6.9999999999999751</v>
      </c>
      <c r="V52" s="186">
        <f t="shared" si="37"/>
        <v>46.999999999999993</v>
      </c>
      <c r="W52" s="16"/>
      <c r="X52" s="16"/>
      <c r="Y52" s="16"/>
      <c r="Z52" s="16"/>
      <c r="AA52" s="612"/>
      <c r="AB52" s="612"/>
      <c r="AC52" s="136"/>
      <c r="AD52" s="18"/>
      <c r="AE52" s="14">
        <f t="shared" si="8"/>
        <v>-64.68085106382955</v>
      </c>
      <c r="AF52" s="183">
        <f t="shared" si="9"/>
        <v>0.96765957446808526</v>
      </c>
      <c r="AG52" s="616"/>
    </row>
    <row r="53" spans="1:33" ht="15.75" customHeight="1">
      <c r="A53" s="621" t="s">
        <v>732</v>
      </c>
      <c r="B53" s="27" t="s">
        <v>8</v>
      </c>
      <c r="C53" s="605" t="s">
        <v>61</v>
      </c>
      <c r="D53" s="606"/>
      <c r="E53" s="27">
        <v>46</v>
      </c>
      <c r="F53" s="30">
        <v>2707</v>
      </c>
      <c r="G53" s="182">
        <f t="shared" si="35"/>
        <v>124522</v>
      </c>
      <c r="H53" s="31" t="s">
        <v>40</v>
      </c>
      <c r="I53" s="185">
        <v>16</v>
      </c>
      <c r="J53" s="29">
        <v>2000</v>
      </c>
      <c r="K53" s="12">
        <f t="shared" si="1"/>
        <v>125</v>
      </c>
      <c r="L53" s="185">
        <v>16</v>
      </c>
      <c r="M53" s="13">
        <f t="shared" ref="M53:M57" si="39">F53/V53*60</f>
        <v>1910.8235294117644</v>
      </c>
      <c r="N53" s="13">
        <f t="shared" si="3"/>
        <v>119.42647058823528</v>
      </c>
      <c r="O53" s="14">
        <f t="shared" si="4"/>
        <v>0</v>
      </c>
      <c r="P53" s="15">
        <f t="shared" si="5"/>
        <v>-5.5735294117647243</v>
      </c>
      <c r="Q53" s="183">
        <f t="shared" si="6"/>
        <v>0.95541176470588218</v>
      </c>
      <c r="R53" s="616"/>
      <c r="S53" s="32">
        <v>0.30555555555555552</v>
      </c>
      <c r="T53" s="32">
        <v>0.36458333333333331</v>
      </c>
      <c r="U53" s="182">
        <f t="shared" si="38"/>
        <v>6.9999999999999751</v>
      </c>
      <c r="V53" s="186">
        <f t="shared" si="37"/>
        <v>85.000000000000014</v>
      </c>
      <c r="W53" s="16"/>
      <c r="X53" s="16"/>
      <c r="Y53" s="19"/>
      <c r="Z53" s="19"/>
      <c r="AA53" s="612"/>
      <c r="AB53" s="612"/>
      <c r="AC53" s="136"/>
      <c r="AD53" s="18"/>
      <c r="AE53" s="14">
        <f t="shared" si="8"/>
        <v>-89.176470588235588</v>
      </c>
      <c r="AF53" s="183">
        <f t="shared" si="9"/>
        <v>0.95541176470588218</v>
      </c>
      <c r="AG53" s="616"/>
    </row>
    <row r="54" spans="1:33" ht="15.75" customHeight="1">
      <c r="A54" s="621" t="s">
        <v>734</v>
      </c>
      <c r="B54" s="27" t="s">
        <v>8</v>
      </c>
      <c r="C54" s="176" t="s">
        <v>79</v>
      </c>
      <c r="D54" s="177"/>
      <c r="E54" s="27">
        <v>46</v>
      </c>
      <c r="F54" s="30">
        <v>3053</v>
      </c>
      <c r="G54" s="182">
        <f t="shared" si="35"/>
        <v>140438</v>
      </c>
      <c r="H54" s="31" t="s">
        <v>40</v>
      </c>
      <c r="I54" s="185">
        <v>17</v>
      </c>
      <c r="J54" s="29">
        <v>2000</v>
      </c>
      <c r="K54" s="12">
        <f t="shared" si="1"/>
        <v>117.64705882352941</v>
      </c>
      <c r="L54" s="185">
        <v>17</v>
      </c>
      <c r="M54" s="13">
        <f t="shared" si="39"/>
        <v>1908.1250000000005</v>
      </c>
      <c r="N54" s="13">
        <f t="shared" si="3"/>
        <v>112.24264705882355</v>
      </c>
      <c r="O54" s="14">
        <f t="shared" si="4"/>
        <v>0</v>
      </c>
      <c r="P54" s="15">
        <f t="shared" si="5"/>
        <v>-5.4044117647058556</v>
      </c>
      <c r="Q54" s="183">
        <f t="shared" si="6"/>
        <v>0.95406250000000026</v>
      </c>
      <c r="R54" s="616"/>
      <c r="S54" s="32">
        <v>0.37013888888888885</v>
      </c>
      <c r="T54" s="32">
        <v>0.4368055555555555</v>
      </c>
      <c r="U54" s="182">
        <f t="shared" si="38"/>
        <v>7.9999999999999716</v>
      </c>
      <c r="V54" s="186">
        <f t="shared" si="37"/>
        <v>95.999999999999972</v>
      </c>
      <c r="W54" s="16"/>
      <c r="X54" s="16"/>
      <c r="Y54" s="19"/>
      <c r="Z54" s="19"/>
      <c r="AA54" s="612"/>
      <c r="AB54" s="612"/>
      <c r="AC54" s="136"/>
      <c r="AD54" s="18"/>
      <c r="AE54" s="14">
        <f t="shared" si="8"/>
        <v>-91.874999999999545</v>
      </c>
      <c r="AF54" s="183">
        <f t="shared" si="9"/>
        <v>0.95406250000000026</v>
      </c>
      <c r="AG54" s="616"/>
    </row>
    <row r="55" spans="1:33" ht="15.75" customHeight="1">
      <c r="A55" s="621" t="s">
        <v>734</v>
      </c>
      <c r="B55" s="27" t="s">
        <v>5</v>
      </c>
      <c r="C55" s="176" t="s">
        <v>32</v>
      </c>
      <c r="D55" s="177"/>
      <c r="E55" s="27">
        <v>55.56</v>
      </c>
      <c r="F55" s="30">
        <v>2621</v>
      </c>
      <c r="G55" s="182">
        <f t="shared" si="35"/>
        <v>145622.76</v>
      </c>
      <c r="H55" s="31" t="s">
        <v>40</v>
      </c>
      <c r="I55" s="185">
        <v>17</v>
      </c>
      <c r="J55" s="29">
        <v>2000</v>
      </c>
      <c r="K55" s="12">
        <f t="shared" si="1"/>
        <v>117.64705882352941</v>
      </c>
      <c r="L55" s="185">
        <v>17</v>
      </c>
      <c r="M55" s="13">
        <f t="shared" si="39"/>
        <v>1917.80487804878</v>
      </c>
      <c r="N55" s="13">
        <f t="shared" si="3"/>
        <v>112.81205164992824</v>
      </c>
      <c r="O55" s="14">
        <f t="shared" si="4"/>
        <v>0</v>
      </c>
      <c r="P55" s="15">
        <f t="shared" si="5"/>
        <v>-4.8350071736011699</v>
      </c>
      <c r="Q55" s="183">
        <f t="shared" si="6"/>
        <v>0.9589024390243901</v>
      </c>
      <c r="R55" s="616"/>
      <c r="S55" s="32">
        <v>0.70833333333333337</v>
      </c>
      <c r="T55" s="32">
        <v>0.76527777777777783</v>
      </c>
      <c r="U55" s="182" t="str">
        <f t="shared" si="38"/>
        <v/>
      </c>
      <c r="V55" s="186">
        <f t="shared" si="37"/>
        <v>82.000000000000028</v>
      </c>
      <c r="W55" s="16"/>
      <c r="X55" s="16"/>
      <c r="Y55" s="19"/>
      <c r="Z55" s="19"/>
      <c r="AA55" s="612"/>
      <c r="AB55" s="612"/>
      <c r="AC55" s="136"/>
      <c r="AD55" s="18"/>
      <c r="AE55" s="14">
        <f t="shared" si="8"/>
        <v>-82.195121951220017</v>
      </c>
      <c r="AF55" s="183">
        <f t="shared" si="9"/>
        <v>0.95890243902438999</v>
      </c>
      <c r="AG55" s="616"/>
    </row>
    <row r="56" spans="1:33" ht="15.75" customHeight="1">
      <c r="A56" s="621" t="s">
        <v>71</v>
      </c>
      <c r="B56" s="27" t="s">
        <v>5</v>
      </c>
      <c r="C56" s="605" t="s">
        <v>77</v>
      </c>
      <c r="D56" s="606"/>
      <c r="E56" s="27">
        <v>54.09</v>
      </c>
      <c r="F56" s="30">
        <v>1573</v>
      </c>
      <c r="G56" s="182">
        <f t="shared" si="35"/>
        <v>85083.57</v>
      </c>
      <c r="H56" s="31" t="s">
        <v>40</v>
      </c>
      <c r="I56" s="185">
        <v>13</v>
      </c>
      <c r="J56" s="29">
        <v>2000</v>
      </c>
      <c r="K56" s="12">
        <f t="shared" si="1"/>
        <v>153.84615384615384</v>
      </c>
      <c r="L56" s="185">
        <v>13</v>
      </c>
      <c r="M56" s="13">
        <f t="shared" si="39"/>
        <v>1926.1224489795925</v>
      </c>
      <c r="N56" s="13">
        <f t="shared" si="3"/>
        <v>148.1632653061225</v>
      </c>
      <c r="O56" s="14">
        <f t="shared" si="4"/>
        <v>0</v>
      </c>
      <c r="P56" s="15">
        <f t="shared" si="5"/>
        <v>-5.6828885400313425</v>
      </c>
      <c r="Q56" s="183">
        <f t="shared" si="6"/>
        <v>0.96306122448979625</v>
      </c>
      <c r="R56" s="616"/>
      <c r="S56" s="32">
        <v>0.76944444444444449</v>
      </c>
      <c r="T56" s="32">
        <v>0.80347222222222225</v>
      </c>
      <c r="U56" s="182">
        <f t="shared" si="38"/>
        <v>5.9999999999999787</v>
      </c>
      <c r="V56" s="186">
        <f t="shared" si="37"/>
        <v>48.999999999999986</v>
      </c>
      <c r="W56" s="16"/>
      <c r="X56" s="16"/>
      <c r="Y56" s="19"/>
      <c r="Z56" s="19"/>
      <c r="AA56" s="607"/>
      <c r="AB56" s="608"/>
      <c r="AC56" s="136"/>
      <c r="AD56" s="18"/>
      <c r="AE56" s="14">
        <f t="shared" si="8"/>
        <v>-73.877551020407509</v>
      </c>
      <c r="AF56" s="183">
        <f t="shared" si="9"/>
        <v>0.96306122448979625</v>
      </c>
      <c r="AG56" s="616"/>
    </row>
    <row r="57" spans="1:33" ht="15.75" customHeight="1">
      <c r="A57" s="621" t="s">
        <v>732</v>
      </c>
      <c r="B57" s="27" t="s">
        <v>5</v>
      </c>
      <c r="C57" s="605" t="s">
        <v>65</v>
      </c>
      <c r="D57" s="606"/>
      <c r="E57" s="27">
        <v>56.43</v>
      </c>
      <c r="F57" s="30">
        <v>1707</v>
      </c>
      <c r="G57" s="182">
        <f t="shared" si="35"/>
        <v>96326.01</v>
      </c>
      <c r="H57" s="31" t="s">
        <v>40</v>
      </c>
      <c r="I57" s="185">
        <v>13</v>
      </c>
      <c r="J57" s="29">
        <v>2000</v>
      </c>
      <c r="K57" s="12">
        <f t="shared" si="1"/>
        <v>153.84615384615384</v>
      </c>
      <c r="L57" s="185">
        <v>13</v>
      </c>
      <c r="M57" s="13">
        <f t="shared" si="39"/>
        <v>1932.4528301886801</v>
      </c>
      <c r="N57" s="13">
        <f t="shared" si="3"/>
        <v>148.65021770682154</v>
      </c>
      <c r="O57" s="14">
        <f t="shared" si="4"/>
        <v>0</v>
      </c>
      <c r="P57" s="15">
        <f t="shared" si="5"/>
        <v>-5.1959361393323036</v>
      </c>
      <c r="Q57" s="183">
        <f t="shared" si="6"/>
        <v>0.96622641509434004</v>
      </c>
      <c r="R57" s="616"/>
      <c r="S57" s="32">
        <v>0.80833333333333335</v>
      </c>
      <c r="T57" s="32">
        <v>0.84513888888888888</v>
      </c>
      <c r="U57" s="182">
        <f t="shared" si="38"/>
        <v>6.9999999999999751</v>
      </c>
      <c r="V57" s="186">
        <f t="shared" si="37"/>
        <v>52.999999999999972</v>
      </c>
      <c r="W57" s="16"/>
      <c r="X57" s="16"/>
      <c r="Y57" s="19"/>
      <c r="Z57" s="19"/>
      <c r="AA57" s="607"/>
      <c r="AB57" s="608"/>
      <c r="AC57" s="136"/>
      <c r="AD57" s="18"/>
      <c r="AE57" s="14">
        <f t="shared" si="8"/>
        <v>-67.547169811319918</v>
      </c>
      <c r="AF57" s="183">
        <f t="shared" si="9"/>
        <v>0.96622641509434004</v>
      </c>
      <c r="AG57" s="616"/>
    </row>
    <row r="58" spans="1:33">
      <c r="A58" s="622" t="s">
        <v>733</v>
      </c>
      <c r="B58" s="27" t="s">
        <v>735</v>
      </c>
      <c r="C58" s="658"/>
      <c r="D58" s="658"/>
      <c r="E58" s="184"/>
      <c r="F58" s="28"/>
      <c r="G58" s="12"/>
      <c r="H58" s="187"/>
      <c r="I58" s="21">
        <v>16.714285714285715</v>
      </c>
      <c r="J58" s="29">
        <v>2000</v>
      </c>
      <c r="K58" s="12">
        <f t="shared" si="1"/>
        <v>119.65811965811965</v>
      </c>
      <c r="L58" s="21">
        <v>16.714285714285715</v>
      </c>
      <c r="M58" s="13">
        <f>AVERAGE(M51:M57)</f>
        <v>1920.1106311204956</v>
      </c>
      <c r="N58" s="12">
        <f t="shared" si="3"/>
        <v>114.87841382772194</v>
      </c>
      <c r="O58" s="14">
        <f t="shared" si="4"/>
        <v>0</v>
      </c>
      <c r="P58" s="15">
        <f t="shared" si="5"/>
        <v>-4.7797058303977025</v>
      </c>
      <c r="Q58" s="183">
        <f t="shared" si="6"/>
        <v>0.96005531556024781</v>
      </c>
      <c r="R58" s="616"/>
      <c r="S58" s="32"/>
      <c r="T58" s="32"/>
      <c r="U58" s="182"/>
      <c r="V58" s="186"/>
      <c r="W58" s="12"/>
      <c r="X58" s="12"/>
      <c r="Y58" s="22">
        <f>SUM(Y51:Y57)</f>
        <v>0</v>
      </c>
      <c r="Z58" s="22">
        <f>SUM(Z51:Z57)</f>
        <v>0</v>
      </c>
      <c r="AA58" s="611"/>
      <c r="AB58" s="611"/>
      <c r="AC58" s="22">
        <v>7</v>
      </c>
      <c r="AD58" s="22">
        <f>SUM(AD51:AD57)</f>
        <v>0</v>
      </c>
      <c r="AE58" s="14">
        <f>M58-J58</f>
        <v>-79.889368879504445</v>
      </c>
      <c r="AF58" s="183">
        <f t="shared" si="9"/>
        <v>0.96005531556024781</v>
      </c>
      <c r="AG58" s="616"/>
    </row>
    <row r="59" spans="1:33" ht="15.75" customHeight="1">
      <c r="A59" s="617" t="s">
        <v>736</v>
      </c>
      <c r="B59" s="187" t="s">
        <v>27</v>
      </c>
      <c r="C59" s="660" t="s">
        <v>28</v>
      </c>
      <c r="D59" s="660"/>
      <c r="E59" s="27">
        <v>35.119999999999997</v>
      </c>
      <c r="F59" s="30">
        <v>5692</v>
      </c>
      <c r="G59" s="182">
        <f t="shared" ref="G59:G62" si="40">E59*F59</f>
        <v>199903.03999999998</v>
      </c>
      <c r="H59" s="31" t="s">
        <v>40</v>
      </c>
      <c r="I59" s="185">
        <v>10</v>
      </c>
      <c r="J59" s="29">
        <v>3000</v>
      </c>
      <c r="K59" s="12">
        <f t="shared" si="1"/>
        <v>300</v>
      </c>
      <c r="L59" s="185">
        <v>10</v>
      </c>
      <c r="M59" s="13">
        <f t="shared" ref="M59:M62" si="41">F59/V59*60</f>
        <v>2869.9159663865544</v>
      </c>
      <c r="N59" s="12">
        <f t="shared" si="3"/>
        <v>286.99159663865544</v>
      </c>
      <c r="O59" s="14">
        <f t="shared" si="4"/>
        <v>0</v>
      </c>
      <c r="P59" s="15">
        <f t="shared" si="5"/>
        <v>-13.008403361344563</v>
      </c>
      <c r="Q59" s="183">
        <f t="shared" si="6"/>
        <v>0.95663865546218474</v>
      </c>
      <c r="R59" s="616">
        <f>Q63</f>
        <v>0.95901317427890531</v>
      </c>
      <c r="S59" s="32">
        <v>0.20833333333333334</v>
      </c>
      <c r="T59" s="32">
        <v>0.29097222222222224</v>
      </c>
      <c r="U59" s="182"/>
      <c r="V59" s="186">
        <f t="shared" ref="V59:V62" si="42">(T59-S59)*24*60</f>
        <v>119.00000000000001</v>
      </c>
      <c r="W59" s="16"/>
      <c r="X59" s="16"/>
      <c r="Y59" s="20"/>
      <c r="Z59" s="20"/>
      <c r="AA59" s="612"/>
      <c r="AB59" s="612"/>
      <c r="AC59" s="136">
        <v>4</v>
      </c>
      <c r="AD59" s="18"/>
      <c r="AE59" s="14">
        <f t="shared" ref="AE59:AE71" si="43">M59-J59</f>
        <v>-130.08403361344563</v>
      </c>
      <c r="AF59" s="183">
        <f t="shared" si="9"/>
        <v>0.95663865546218474</v>
      </c>
      <c r="AG59" s="616">
        <f>AF63</f>
        <v>0.95901317427890531</v>
      </c>
    </row>
    <row r="60" spans="1:33" ht="15.75" customHeight="1">
      <c r="A60" s="617" t="s">
        <v>736</v>
      </c>
      <c r="B60" s="187" t="s">
        <v>27</v>
      </c>
      <c r="C60" s="660" t="s">
        <v>34</v>
      </c>
      <c r="D60" s="660"/>
      <c r="E60" s="27">
        <v>26.78</v>
      </c>
      <c r="F60" s="30">
        <v>2812</v>
      </c>
      <c r="G60" s="182">
        <f t="shared" si="40"/>
        <v>75305.36</v>
      </c>
      <c r="H60" s="31" t="s">
        <v>40</v>
      </c>
      <c r="I60" s="185">
        <v>10</v>
      </c>
      <c r="J60" s="29">
        <v>3000</v>
      </c>
      <c r="K60" s="12">
        <f t="shared" si="1"/>
        <v>300</v>
      </c>
      <c r="L60" s="185">
        <v>10</v>
      </c>
      <c r="M60" s="13">
        <f t="shared" si="41"/>
        <v>2859.661016949151</v>
      </c>
      <c r="N60" s="12">
        <f t="shared" si="3"/>
        <v>285.9661016949151</v>
      </c>
      <c r="O60" s="14">
        <f t="shared" si="4"/>
        <v>0</v>
      </c>
      <c r="P60" s="15">
        <f t="shared" si="5"/>
        <v>-14.033898305084904</v>
      </c>
      <c r="Q60" s="183">
        <f t="shared" si="6"/>
        <v>0.95322033898305036</v>
      </c>
      <c r="R60" s="616"/>
      <c r="S60" s="32">
        <v>0.29444444444444445</v>
      </c>
      <c r="T60" s="32">
        <v>0.3354166666666667</v>
      </c>
      <c r="U60" s="182">
        <f t="shared" ref="U60:U62" si="44">(S60-T59)*24*60</f>
        <v>4.9999999999999822</v>
      </c>
      <c r="V60" s="186">
        <f t="shared" si="42"/>
        <v>59.000000000000028</v>
      </c>
      <c r="W60" s="182"/>
      <c r="X60" s="182"/>
      <c r="Y60" s="182"/>
      <c r="Z60" s="182"/>
      <c r="AA60" s="612"/>
      <c r="AB60" s="612"/>
      <c r="AC60" s="136"/>
      <c r="AD60" s="18"/>
      <c r="AE60" s="14">
        <f t="shared" si="43"/>
        <v>-140.33898305084904</v>
      </c>
      <c r="AF60" s="183">
        <f t="shared" si="9"/>
        <v>0.95322033898305036</v>
      </c>
      <c r="AG60" s="616"/>
    </row>
    <row r="61" spans="1:33" ht="15.75" customHeight="1">
      <c r="A61" s="617" t="s">
        <v>736</v>
      </c>
      <c r="B61" s="187" t="s">
        <v>27</v>
      </c>
      <c r="C61" s="660" t="s">
        <v>36</v>
      </c>
      <c r="D61" s="660"/>
      <c r="E61" s="27">
        <v>34.35</v>
      </c>
      <c r="F61" s="30">
        <v>1896</v>
      </c>
      <c r="G61" s="182">
        <f t="shared" si="40"/>
        <v>65127.600000000006</v>
      </c>
      <c r="H61" s="31" t="s">
        <v>40</v>
      </c>
      <c r="I61" s="185">
        <v>8</v>
      </c>
      <c r="J61" s="29">
        <v>3000</v>
      </c>
      <c r="K61" s="12">
        <f t="shared" si="1"/>
        <v>375</v>
      </c>
      <c r="L61" s="185">
        <v>8</v>
      </c>
      <c r="M61" s="13">
        <f t="shared" si="41"/>
        <v>2916.9230769230753</v>
      </c>
      <c r="N61" s="12">
        <f t="shared" si="3"/>
        <v>364.61538461538441</v>
      </c>
      <c r="O61" s="14">
        <f t="shared" si="4"/>
        <v>0</v>
      </c>
      <c r="P61" s="15">
        <f t="shared" si="5"/>
        <v>-10.384615384615586</v>
      </c>
      <c r="Q61" s="183">
        <f t="shared" si="6"/>
        <v>0.97230769230769176</v>
      </c>
      <c r="R61" s="616"/>
      <c r="S61" s="32">
        <v>0.34027777777777779</v>
      </c>
      <c r="T61" s="32">
        <v>0.36736111111111114</v>
      </c>
      <c r="U61" s="182">
        <f t="shared" si="44"/>
        <v>6.9999999999999751</v>
      </c>
      <c r="V61" s="186">
        <f t="shared" si="42"/>
        <v>39.000000000000021</v>
      </c>
      <c r="W61" s="182"/>
      <c r="X61" s="182"/>
      <c r="Y61" s="182"/>
      <c r="Z61" s="182"/>
      <c r="AA61" s="612"/>
      <c r="AB61" s="612"/>
      <c r="AC61" s="136"/>
      <c r="AD61" s="18"/>
      <c r="AE61" s="14">
        <f t="shared" si="43"/>
        <v>-83.076923076924686</v>
      </c>
      <c r="AF61" s="183">
        <f t="shared" si="9"/>
        <v>0.97230769230769176</v>
      </c>
      <c r="AG61" s="616"/>
    </row>
    <row r="62" spans="1:33" ht="15.75" customHeight="1">
      <c r="A62" s="617" t="s">
        <v>736</v>
      </c>
      <c r="B62" s="187" t="s">
        <v>27</v>
      </c>
      <c r="C62" s="660" t="s">
        <v>737</v>
      </c>
      <c r="D62" s="660"/>
      <c r="E62" s="27">
        <v>36.14</v>
      </c>
      <c r="F62" s="30">
        <v>9205</v>
      </c>
      <c r="G62" s="182">
        <f t="shared" si="40"/>
        <v>332668.7</v>
      </c>
      <c r="H62" s="31" t="s">
        <v>40</v>
      </c>
      <c r="I62" s="185">
        <v>11</v>
      </c>
      <c r="J62" s="29">
        <v>3000</v>
      </c>
      <c r="K62" s="12">
        <f t="shared" si="1"/>
        <v>272.72727272727275</v>
      </c>
      <c r="L62" s="185">
        <v>11</v>
      </c>
      <c r="M62" s="13">
        <f t="shared" si="41"/>
        <v>2861.658031088084</v>
      </c>
      <c r="N62" s="12">
        <f t="shared" si="3"/>
        <v>260.15073009891671</v>
      </c>
      <c r="O62" s="14">
        <f t="shared" si="4"/>
        <v>0</v>
      </c>
      <c r="P62" s="15">
        <f t="shared" si="5"/>
        <v>-12.576542628356037</v>
      </c>
      <c r="Q62" s="183">
        <f t="shared" si="6"/>
        <v>0.95388601036269449</v>
      </c>
      <c r="R62" s="616"/>
      <c r="S62" s="32">
        <v>0.37291666666666667</v>
      </c>
      <c r="T62" s="32">
        <v>0.50694444444444442</v>
      </c>
      <c r="U62" s="182">
        <f t="shared" si="44"/>
        <v>7.9999999999999716</v>
      </c>
      <c r="V62" s="186">
        <f t="shared" si="42"/>
        <v>192.99999999999994</v>
      </c>
      <c r="W62" s="182"/>
      <c r="X62" s="182"/>
      <c r="Y62" s="182"/>
      <c r="Z62" s="182"/>
      <c r="AA62" s="612"/>
      <c r="AB62" s="612"/>
      <c r="AC62" s="136"/>
      <c r="AD62" s="18"/>
      <c r="AE62" s="14">
        <f t="shared" si="43"/>
        <v>-138.34196891191596</v>
      </c>
      <c r="AF62" s="183">
        <f t="shared" si="9"/>
        <v>0.95388601036269471</v>
      </c>
      <c r="AG62" s="616"/>
    </row>
    <row r="63" spans="1:33">
      <c r="A63" s="618" t="s">
        <v>736</v>
      </c>
      <c r="B63" s="27" t="s">
        <v>725</v>
      </c>
      <c r="C63" s="658"/>
      <c r="D63" s="658"/>
      <c r="E63" s="184"/>
      <c r="F63" s="28"/>
      <c r="G63" s="12"/>
      <c r="H63" s="187"/>
      <c r="I63" s="21">
        <v>9.75</v>
      </c>
      <c r="J63" s="29">
        <v>3000</v>
      </c>
      <c r="K63" s="12">
        <f t="shared" si="1"/>
        <v>307.69230769230768</v>
      </c>
      <c r="L63" s="21">
        <v>9.75</v>
      </c>
      <c r="M63" s="13">
        <f>AVERAGE(M59:M62)</f>
        <v>2877.0395228367161</v>
      </c>
      <c r="N63" s="12">
        <f t="shared" si="3"/>
        <v>295.08097670120162</v>
      </c>
      <c r="O63" s="14">
        <f t="shared" si="4"/>
        <v>0</v>
      </c>
      <c r="P63" s="15">
        <f t="shared" si="5"/>
        <v>-12.611330991106058</v>
      </c>
      <c r="Q63" s="183">
        <f t="shared" si="6"/>
        <v>0.95901317427890531</v>
      </c>
      <c r="R63" s="616"/>
      <c r="S63" s="32"/>
      <c r="T63" s="32"/>
      <c r="U63" s="12"/>
      <c r="V63" s="186"/>
      <c r="W63" s="12"/>
      <c r="X63" s="12"/>
      <c r="Y63" s="22">
        <f>SUM(Y59:Y62)</f>
        <v>0</v>
      </c>
      <c r="Z63" s="22">
        <f>SUM(Z59:Z62)</f>
        <v>0</v>
      </c>
      <c r="AA63" s="611"/>
      <c r="AB63" s="611"/>
      <c r="AC63" s="22">
        <v>4</v>
      </c>
      <c r="AD63" s="22">
        <f>SUM(AD59:AD62)</f>
        <v>0</v>
      </c>
      <c r="AE63" s="14">
        <f t="shared" si="43"/>
        <v>-122.96047716328394</v>
      </c>
      <c r="AF63" s="183">
        <f t="shared" si="9"/>
        <v>0.95901317427890531</v>
      </c>
      <c r="AG63" s="616"/>
    </row>
    <row r="64" spans="1:33" ht="15.75" customHeight="1">
      <c r="A64" s="613" t="s">
        <v>738</v>
      </c>
      <c r="B64" s="187" t="s">
        <v>20</v>
      </c>
      <c r="C64" s="660" t="s">
        <v>39</v>
      </c>
      <c r="D64" s="660"/>
      <c r="E64" s="27">
        <v>19.02</v>
      </c>
      <c r="F64" s="187">
        <v>4000</v>
      </c>
      <c r="G64" s="182">
        <f t="shared" ref="G64:G70" si="45">E64*F64</f>
        <v>76080</v>
      </c>
      <c r="H64" s="31">
        <v>2</v>
      </c>
      <c r="I64" s="185">
        <v>14</v>
      </c>
      <c r="J64" s="29">
        <v>2400</v>
      </c>
      <c r="K64" s="12">
        <f t="shared" si="1"/>
        <v>171.42857142857142</v>
      </c>
      <c r="L64" s="185">
        <v>14</v>
      </c>
      <c r="M64" s="13">
        <f t="shared" ref="M64:M70" si="46">F64/V64*60</f>
        <v>2285.7142857142858</v>
      </c>
      <c r="N64" s="12">
        <f t="shared" si="3"/>
        <v>163.26530612244898</v>
      </c>
      <c r="O64" s="14">
        <f t="shared" si="4"/>
        <v>0</v>
      </c>
      <c r="P64" s="15">
        <f t="shared" si="5"/>
        <v>-8.1632653061224403</v>
      </c>
      <c r="Q64" s="183">
        <f t="shared" si="6"/>
        <v>0.95238095238095244</v>
      </c>
      <c r="R64" s="616">
        <f>Q71</f>
        <v>0.95512535664942688</v>
      </c>
      <c r="S64" s="32">
        <v>8.3333333333333329E-2</v>
      </c>
      <c r="T64" s="32">
        <v>0.15625</v>
      </c>
      <c r="U64" s="20"/>
      <c r="V64" s="186">
        <f t="shared" ref="V64:V70" si="47">(T64-S64)*24*60</f>
        <v>105</v>
      </c>
      <c r="W64" s="16">
        <f>T64</f>
        <v>0.15625</v>
      </c>
      <c r="X64" s="16">
        <f>S65</f>
        <v>0.17569444444444443</v>
      </c>
      <c r="Y64" s="16"/>
      <c r="Z64" s="16"/>
      <c r="AA64" s="612"/>
      <c r="AB64" s="612"/>
      <c r="AC64" s="136">
        <v>7</v>
      </c>
      <c r="AD64" s="18"/>
      <c r="AE64" s="14">
        <f t="shared" si="43"/>
        <v>-114.28571428571422</v>
      </c>
      <c r="AF64" s="183">
        <f t="shared" si="9"/>
        <v>0.95238095238095244</v>
      </c>
      <c r="AG64" s="616">
        <f>AF71</f>
        <v>0.95512535664942699</v>
      </c>
    </row>
    <row r="65" spans="1:33" ht="15.75" customHeight="1">
      <c r="A65" s="614" t="s">
        <v>738</v>
      </c>
      <c r="B65" s="187" t="s">
        <v>20</v>
      </c>
      <c r="C65" s="660" t="s">
        <v>24</v>
      </c>
      <c r="D65" s="660"/>
      <c r="E65" s="27">
        <v>20.36</v>
      </c>
      <c r="F65" s="187">
        <v>4778</v>
      </c>
      <c r="G65" s="182">
        <f t="shared" si="45"/>
        <v>97280.08</v>
      </c>
      <c r="H65" s="31" t="s">
        <v>40</v>
      </c>
      <c r="I65" s="185">
        <v>17</v>
      </c>
      <c r="J65" s="29">
        <v>2400</v>
      </c>
      <c r="K65" s="12">
        <f t="shared" si="1"/>
        <v>141.1764705882353</v>
      </c>
      <c r="L65" s="185">
        <v>17</v>
      </c>
      <c r="M65" s="13">
        <f t="shared" si="46"/>
        <v>2293.4399999999996</v>
      </c>
      <c r="N65" s="12">
        <f t="shared" si="3"/>
        <v>134.90823529411762</v>
      </c>
      <c r="O65" s="14">
        <f t="shared" si="4"/>
        <v>0</v>
      </c>
      <c r="P65" s="15">
        <f t="shared" si="5"/>
        <v>-6.2682352941176873</v>
      </c>
      <c r="Q65" s="183">
        <f t="shared" si="6"/>
        <v>0.95559999999999967</v>
      </c>
      <c r="R65" s="616"/>
      <c r="S65" s="32">
        <v>0.17569444444444443</v>
      </c>
      <c r="T65" s="32">
        <v>0.26250000000000001</v>
      </c>
      <c r="U65" s="182">
        <f t="shared" ref="U65:U70" si="48">(S65-T64)*24*60</f>
        <v>27.999999999999979</v>
      </c>
      <c r="V65" s="186">
        <f t="shared" si="47"/>
        <v>125.00000000000003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-106.5600000000004</v>
      </c>
      <c r="AF65" s="183">
        <f t="shared" si="9"/>
        <v>0.95559999999999978</v>
      </c>
      <c r="AG65" s="616"/>
    </row>
    <row r="66" spans="1:33" ht="15.75" customHeight="1">
      <c r="A66" s="614" t="s">
        <v>738</v>
      </c>
      <c r="B66" s="187" t="s">
        <v>20</v>
      </c>
      <c r="C66" s="660" t="s">
        <v>38</v>
      </c>
      <c r="D66" s="660"/>
      <c r="E66" s="27">
        <v>22.69</v>
      </c>
      <c r="F66" s="187">
        <v>2877</v>
      </c>
      <c r="G66" s="182">
        <f t="shared" si="45"/>
        <v>65279.130000000005</v>
      </c>
      <c r="H66" s="31" t="s">
        <v>40</v>
      </c>
      <c r="I66" s="185">
        <v>15</v>
      </c>
      <c r="J66" s="29">
        <v>2400</v>
      </c>
      <c r="K66" s="12">
        <f t="shared" si="1"/>
        <v>160</v>
      </c>
      <c r="L66" s="185">
        <v>15</v>
      </c>
      <c r="M66" s="13">
        <f t="shared" si="46"/>
        <v>2301.6000000000008</v>
      </c>
      <c r="N66" s="12">
        <f t="shared" si="3"/>
        <v>153.44000000000005</v>
      </c>
      <c r="O66" s="14">
        <f t="shared" si="4"/>
        <v>0</v>
      </c>
      <c r="P66" s="15">
        <f t="shared" si="5"/>
        <v>-6.5599999999999454</v>
      </c>
      <c r="Q66" s="183">
        <f t="shared" si="6"/>
        <v>0.9590000000000003</v>
      </c>
      <c r="R66" s="616"/>
      <c r="S66" s="32">
        <v>0.26805555555555555</v>
      </c>
      <c r="T66" s="32">
        <v>0.32013888888888886</v>
      </c>
      <c r="U66" s="182">
        <f t="shared" si="48"/>
        <v>7.9999999999999716</v>
      </c>
      <c r="V66" s="186">
        <f t="shared" si="47"/>
        <v>74.999999999999972</v>
      </c>
      <c r="W66" s="16"/>
      <c r="X66" s="16"/>
      <c r="Y66" s="16"/>
      <c r="Z66" s="16"/>
      <c r="AA66" s="612"/>
      <c r="AB66" s="612"/>
      <c r="AC66" s="136"/>
      <c r="AD66" s="18"/>
      <c r="AE66" s="14">
        <f t="shared" si="43"/>
        <v>-98.399999999999181</v>
      </c>
      <c r="AF66" s="183">
        <f t="shared" si="9"/>
        <v>0.9590000000000003</v>
      </c>
      <c r="AG66" s="616"/>
    </row>
    <row r="67" spans="1:33" ht="15.75" customHeight="1">
      <c r="A67" s="614" t="s">
        <v>738</v>
      </c>
      <c r="B67" s="187" t="s">
        <v>20</v>
      </c>
      <c r="C67" s="660" t="s">
        <v>80</v>
      </c>
      <c r="D67" s="660"/>
      <c r="E67" s="27">
        <v>25.98</v>
      </c>
      <c r="F67" s="187">
        <v>4211</v>
      </c>
      <c r="G67" s="182">
        <f t="shared" si="45"/>
        <v>109401.78</v>
      </c>
      <c r="H67" s="31" t="s">
        <v>40</v>
      </c>
      <c r="I67" s="185">
        <v>17</v>
      </c>
      <c r="J67" s="29">
        <v>2400</v>
      </c>
      <c r="K67" s="12">
        <f t="shared" si="1"/>
        <v>141.1764705882353</v>
      </c>
      <c r="L67" s="185">
        <v>17</v>
      </c>
      <c r="M67" s="13">
        <f t="shared" si="46"/>
        <v>2296.9090909090905</v>
      </c>
      <c r="N67" s="12">
        <f t="shared" si="3"/>
        <v>135.11229946524062</v>
      </c>
      <c r="O67" s="14">
        <f t="shared" si="4"/>
        <v>0</v>
      </c>
      <c r="P67" s="15">
        <f t="shared" si="5"/>
        <v>-6.0641711229946793</v>
      </c>
      <c r="Q67" s="183">
        <f t="shared" si="6"/>
        <v>0.95704545454545431</v>
      </c>
      <c r="R67" s="616"/>
      <c r="S67" s="32">
        <v>0.32361111111111107</v>
      </c>
      <c r="T67" s="32">
        <v>0.39999999999999997</v>
      </c>
      <c r="U67" s="182">
        <f t="shared" si="48"/>
        <v>4.9999999999999822</v>
      </c>
      <c r="V67" s="186">
        <f t="shared" si="47"/>
        <v>110.00000000000001</v>
      </c>
      <c r="W67" s="16"/>
      <c r="X67" s="16"/>
      <c r="Y67" s="16"/>
      <c r="Z67" s="16"/>
      <c r="AA67" s="612"/>
      <c r="AB67" s="612"/>
      <c r="AC67" s="136"/>
      <c r="AD67" s="18"/>
      <c r="AE67" s="14">
        <f t="shared" si="43"/>
        <v>-103.09090909090946</v>
      </c>
      <c r="AF67" s="183">
        <f t="shared" si="9"/>
        <v>0.95704545454545442</v>
      </c>
      <c r="AG67" s="616"/>
    </row>
    <row r="68" spans="1:33" ht="15.75" customHeight="1">
      <c r="A68" s="614" t="s">
        <v>738</v>
      </c>
      <c r="B68" s="187" t="s">
        <v>20</v>
      </c>
      <c r="C68" s="660" t="s">
        <v>739</v>
      </c>
      <c r="D68" s="660"/>
      <c r="E68" s="27">
        <v>28.29</v>
      </c>
      <c r="F68" s="187">
        <v>5700</v>
      </c>
      <c r="G68" s="182">
        <f t="shared" si="45"/>
        <v>161253</v>
      </c>
      <c r="H68" s="31">
        <v>2</v>
      </c>
      <c r="I68" s="185">
        <v>21</v>
      </c>
      <c r="J68" s="29">
        <v>2400</v>
      </c>
      <c r="K68" s="12">
        <f t="shared" si="1"/>
        <v>114.28571428571429</v>
      </c>
      <c r="L68" s="185">
        <v>21</v>
      </c>
      <c r="M68" s="13">
        <f t="shared" si="46"/>
        <v>2295.3020134228182</v>
      </c>
      <c r="N68" s="12">
        <f t="shared" si="3"/>
        <v>109.30009587727706</v>
      </c>
      <c r="O68" s="14">
        <f t="shared" si="4"/>
        <v>0</v>
      </c>
      <c r="P68" s="15">
        <f t="shared" si="5"/>
        <v>-4.985618408437233</v>
      </c>
      <c r="Q68" s="183">
        <f t="shared" si="6"/>
        <v>0.95637583892617417</v>
      </c>
      <c r="R68" s="616"/>
      <c r="S68" s="32">
        <v>0.40416666666666662</v>
      </c>
      <c r="T68" s="32">
        <v>0.50763888888888886</v>
      </c>
      <c r="U68" s="182">
        <f t="shared" si="48"/>
        <v>5.9999999999999787</v>
      </c>
      <c r="V68" s="186">
        <f t="shared" si="47"/>
        <v>149.00000000000003</v>
      </c>
      <c r="W68" s="16">
        <f>T68</f>
        <v>0.50763888888888886</v>
      </c>
      <c r="X68" s="16">
        <f>S69</f>
        <v>0.54791666666666661</v>
      </c>
      <c r="Y68" s="16"/>
      <c r="Z68" s="16"/>
      <c r="AA68" s="612"/>
      <c r="AB68" s="612"/>
      <c r="AC68" s="136"/>
      <c r="AD68" s="18"/>
      <c r="AE68" s="14">
        <f t="shared" si="43"/>
        <v>-104.69798657718184</v>
      </c>
      <c r="AF68" s="183">
        <f t="shared" si="9"/>
        <v>0.95637583892617428</v>
      </c>
      <c r="AG68" s="616"/>
    </row>
    <row r="69" spans="1:33" ht="15.75" customHeight="1">
      <c r="A69" s="614" t="s">
        <v>738</v>
      </c>
      <c r="B69" s="187" t="s">
        <v>20</v>
      </c>
      <c r="C69" s="660" t="s">
        <v>39</v>
      </c>
      <c r="D69" s="660"/>
      <c r="E69" s="27">
        <v>19.02</v>
      </c>
      <c r="F69" s="187">
        <v>6550</v>
      </c>
      <c r="G69" s="182">
        <f t="shared" si="45"/>
        <v>124581</v>
      </c>
      <c r="H69" s="31" t="s">
        <v>40</v>
      </c>
      <c r="I69" s="185">
        <v>14</v>
      </c>
      <c r="J69" s="29">
        <v>2400</v>
      </c>
      <c r="K69" s="12">
        <f t="shared" ref="K69:K71" si="49">J69/I69</f>
        <v>171.42857142857142</v>
      </c>
      <c r="L69" s="185">
        <v>14</v>
      </c>
      <c r="M69" s="13">
        <f t="shared" si="46"/>
        <v>2284.8837209302324</v>
      </c>
      <c r="N69" s="12">
        <f t="shared" ref="N69:N71" si="50">M69/L69</f>
        <v>163.20598006644516</v>
      </c>
      <c r="O69" s="14">
        <f t="shared" ref="O69:O71" si="51">L69-I69</f>
        <v>0</v>
      </c>
      <c r="P69" s="15">
        <f t="shared" ref="P69:P71" si="52">N69-K69</f>
        <v>-8.2225913621262521</v>
      </c>
      <c r="Q69" s="183">
        <f t="shared" ref="Q69:Q71" si="53">N69/K69</f>
        <v>0.95203488372093015</v>
      </c>
      <c r="R69" s="616"/>
      <c r="S69" s="32">
        <v>0.54791666666666661</v>
      </c>
      <c r="T69" s="32">
        <v>0.66736111111111107</v>
      </c>
      <c r="U69" s="182">
        <f t="shared" si="48"/>
        <v>57.999999999999957</v>
      </c>
      <c r="V69" s="186">
        <f t="shared" si="47"/>
        <v>172.00000000000003</v>
      </c>
      <c r="W69" s="16"/>
      <c r="X69" s="16"/>
      <c r="Y69" s="16"/>
      <c r="Z69" s="16"/>
      <c r="AA69" s="612"/>
      <c r="AB69" s="612"/>
      <c r="AC69" s="136"/>
      <c r="AD69" s="18"/>
      <c r="AE69" s="14">
        <f t="shared" si="43"/>
        <v>-115.11627906976764</v>
      </c>
      <c r="AF69" s="183">
        <f t="shared" ref="AF69:AF71" si="54">M69/J69</f>
        <v>0.95203488372093015</v>
      </c>
      <c r="AG69" s="616"/>
    </row>
    <row r="70" spans="1:33" ht="15.75" customHeight="1">
      <c r="A70" s="614" t="s">
        <v>738</v>
      </c>
      <c r="B70" s="187" t="s">
        <v>20</v>
      </c>
      <c r="C70" s="605" t="s">
        <v>739</v>
      </c>
      <c r="D70" s="606"/>
      <c r="E70" s="27">
        <v>28.29</v>
      </c>
      <c r="F70" s="187">
        <v>4157</v>
      </c>
      <c r="G70" s="182">
        <f t="shared" si="45"/>
        <v>117601.53</v>
      </c>
      <c r="H70" s="31" t="s">
        <v>40</v>
      </c>
      <c r="I70" s="185">
        <v>21</v>
      </c>
      <c r="J70" s="29">
        <v>2400</v>
      </c>
      <c r="K70" s="12">
        <f t="shared" si="49"/>
        <v>114.28571428571429</v>
      </c>
      <c r="L70" s="185">
        <v>21</v>
      </c>
      <c r="M70" s="13">
        <f t="shared" si="46"/>
        <v>2288.2568807339462</v>
      </c>
      <c r="N70" s="12">
        <f t="shared" si="50"/>
        <v>108.96461336828315</v>
      </c>
      <c r="O70" s="14">
        <f t="shared" si="51"/>
        <v>0</v>
      </c>
      <c r="P70" s="15">
        <f t="shared" si="52"/>
        <v>-5.3211009174311386</v>
      </c>
      <c r="Q70" s="183">
        <f t="shared" si="53"/>
        <v>0.95344036697247758</v>
      </c>
      <c r="R70" s="616"/>
      <c r="S70" s="32">
        <v>0.67222222222222217</v>
      </c>
      <c r="T70" s="32">
        <v>0.74791666666666656</v>
      </c>
      <c r="U70" s="182">
        <f t="shared" si="48"/>
        <v>6.9999999999999751</v>
      </c>
      <c r="V70" s="186">
        <f t="shared" si="47"/>
        <v>108.99999999999993</v>
      </c>
      <c r="W70" s="16"/>
      <c r="X70" s="16"/>
      <c r="Y70" s="19"/>
      <c r="Z70" s="19"/>
      <c r="AA70" s="607"/>
      <c r="AB70" s="608"/>
      <c r="AC70" s="136"/>
      <c r="AD70" s="18"/>
      <c r="AE70" s="14">
        <f t="shared" si="43"/>
        <v>-111.74311926605378</v>
      </c>
      <c r="AF70" s="183">
        <f t="shared" si="54"/>
        <v>0.95344036697247758</v>
      </c>
      <c r="AG70" s="616"/>
    </row>
    <row r="71" spans="1:33" ht="16.5" customHeight="1">
      <c r="A71" s="615" t="s">
        <v>738</v>
      </c>
      <c r="B71" s="27" t="s">
        <v>725</v>
      </c>
      <c r="C71" s="609"/>
      <c r="D71" s="610"/>
      <c r="E71" s="184"/>
      <c r="F71" s="28"/>
      <c r="G71" s="12"/>
      <c r="H71" s="187"/>
      <c r="I71" s="21">
        <v>17</v>
      </c>
      <c r="J71" s="29">
        <v>2400</v>
      </c>
      <c r="K71" s="12">
        <f t="shared" si="49"/>
        <v>141.1764705882353</v>
      </c>
      <c r="L71" s="21">
        <v>17</v>
      </c>
      <c r="M71" s="13">
        <f>AVERAGE(M64:M70)</f>
        <v>2292.3008559586247</v>
      </c>
      <c r="N71" s="12">
        <f t="shared" si="50"/>
        <v>134.84122682109557</v>
      </c>
      <c r="O71" s="14">
        <f t="shared" si="51"/>
        <v>0</v>
      </c>
      <c r="P71" s="15">
        <f t="shared" si="52"/>
        <v>-6.3352437671397297</v>
      </c>
      <c r="Q71" s="183">
        <f t="shared" si="53"/>
        <v>0.95512535664942688</v>
      </c>
      <c r="R71" s="616"/>
      <c r="S71" s="32"/>
      <c r="T71" s="32"/>
      <c r="U71" s="12"/>
      <c r="V71" s="186"/>
      <c r="W71" s="12"/>
      <c r="X71" s="12"/>
      <c r="Y71" s="22">
        <f>SUM(Y64:Y70)</f>
        <v>0</v>
      </c>
      <c r="Z71" s="22">
        <f>SUM(Z64:Z70)</f>
        <v>0</v>
      </c>
      <c r="AA71" s="611"/>
      <c r="AB71" s="611"/>
      <c r="AC71" s="22">
        <v>7</v>
      </c>
      <c r="AD71" s="22">
        <f>SUM(AD64:AD70)</f>
        <v>0</v>
      </c>
      <c r="AE71" s="14">
        <f t="shared" si="43"/>
        <v>-107.69914404137535</v>
      </c>
      <c r="AF71" s="183">
        <f t="shared" si="54"/>
        <v>0.95512535664942699</v>
      </c>
      <c r="AG71" s="616"/>
    </row>
    <row r="72" spans="1:33">
      <c r="D72" s="23"/>
      <c r="E72" s="23"/>
    </row>
  </sheetData>
  <mergeCells count="187">
    <mergeCell ref="AG64:AG71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64:A71"/>
    <mergeCell ref="C64:D64"/>
    <mergeCell ref="R64:R71"/>
    <mergeCell ref="AA64:AB64"/>
    <mergeCell ref="AA69:AB69"/>
    <mergeCell ref="C70:D70"/>
    <mergeCell ref="AA70:AB70"/>
    <mergeCell ref="A59:A63"/>
    <mergeCell ref="C59:D59"/>
    <mergeCell ref="R59:R63"/>
    <mergeCell ref="AA59:AB59"/>
    <mergeCell ref="C71:D71"/>
    <mergeCell ref="AA71:AB71"/>
    <mergeCell ref="AG59:AG63"/>
    <mergeCell ref="C60:D60"/>
    <mergeCell ref="AA60:AB60"/>
    <mergeCell ref="C61:D61"/>
    <mergeCell ref="AA61:AB61"/>
    <mergeCell ref="C62:D62"/>
    <mergeCell ref="AA55:AB55"/>
    <mergeCell ref="C56:D56"/>
    <mergeCell ref="AA56:AB56"/>
    <mergeCell ref="C57:D57"/>
    <mergeCell ref="AA57:AB57"/>
    <mergeCell ref="C58:D58"/>
    <mergeCell ref="AA58:AB58"/>
    <mergeCell ref="AA62:AB62"/>
    <mergeCell ref="C63:D63"/>
    <mergeCell ref="AA63:AB63"/>
    <mergeCell ref="A51:A58"/>
    <mergeCell ref="C51:D51"/>
    <mergeCell ref="R51:R58"/>
    <mergeCell ref="AA51:AB51"/>
    <mergeCell ref="AG51:AG58"/>
    <mergeCell ref="C52:D52"/>
    <mergeCell ref="AA52:AB52"/>
    <mergeCell ref="C53:D53"/>
    <mergeCell ref="AA53:AB53"/>
    <mergeCell ref="AA54:AB54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A46:A50"/>
    <mergeCell ref="C46:D46"/>
    <mergeCell ref="R46:R50"/>
    <mergeCell ref="AA46:AB46"/>
    <mergeCell ref="C41:D41"/>
    <mergeCell ref="AA41:AB41"/>
    <mergeCell ref="C42:D42"/>
    <mergeCell ref="AA42:AB42"/>
    <mergeCell ref="C43:D43"/>
    <mergeCell ref="AA43:AB43"/>
    <mergeCell ref="A38:A45"/>
    <mergeCell ref="C38:D38"/>
    <mergeCell ref="R38:R45"/>
    <mergeCell ref="AA38:AB38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G38:AG45"/>
    <mergeCell ref="C39:D39"/>
    <mergeCell ref="AA39:AB39"/>
    <mergeCell ref="C40:D40"/>
    <mergeCell ref="AA40:AB40"/>
    <mergeCell ref="C44:D44"/>
    <mergeCell ref="AA44:AB44"/>
    <mergeCell ref="C45:D45"/>
    <mergeCell ref="AA45:AB45"/>
    <mergeCell ref="A29:A37"/>
    <mergeCell ref="C29:D29"/>
    <mergeCell ref="R29:R37"/>
    <mergeCell ref="AA29:AB29"/>
    <mergeCell ref="AA34:AB34"/>
    <mergeCell ref="C35:D35"/>
    <mergeCell ref="AA35:AB35"/>
    <mergeCell ref="C37:D37"/>
    <mergeCell ref="AA37:AB37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2:A28"/>
    <mergeCell ref="C22:D22"/>
    <mergeCell ref="R22:R28"/>
    <mergeCell ref="AA22:AB22"/>
    <mergeCell ref="AA27:AB27"/>
    <mergeCell ref="A13:A21"/>
    <mergeCell ref="C13:D13"/>
    <mergeCell ref="R13:R21"/>
    <mergeCell ref="AA13:AB13"/>
    <mergeCell ref="AG13:AG21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69 O58:O59 O71 O5:O8 O12:O14 O21:O56">
    <cfRule type="cellIs" dxfId="473" priority="56" operator="greaterThan">
      <formula>0</formula>
    </cfRule>
  </conditionalFormatting>
  <conditionalFormatting sqref="P5:P6 P62 AE62 P64:P69 P29:P36 P59 P8 P12:P14 P51:P56 P22:P27 P38:P49 AE5:AE59 AE64:AE71">
    <cfRule type="cellIs" dxfId="472" priority="60" operator="lessThan">
      <formula>0</formula>
    </cfRule>
  </conditionalFormatting>
  <conditionalFormatting sqref="AF62 Q62:Q69 Q58:Q59 Q71 Q5:Q8 Q12:Q14 Q21:Q56 AF5:AF59 AF64:AF71">
    <cfRule type="cellIs" dxfId="471" priority="57" operator="greaterThan">
      <formula>1</formula>
    </cfRule>
    <cfRule type="cellIs" dxfId="470" priority="58" operator="lessThan">
      <formula>0.8</formula>
    </cfRule>
  </conditionalFormatting>
  <conditionalFormatting sqref="AG13:AG14 R13:R14 AG62 R62:R69 AG58:AG59 R58:R59 R71 AG5:AG8 R5:R8 AG21:AG56 R21:R56">
    <cfRule type="cellIs" dxfId="469" priority="62" operator="lessThan">
      <formula>0.8</formula>
    </cfRule>
  </conditionalFormatting>
  <conditionalFormatting sqref="AG46">
    <cfRule type="cellIs" dxfId="468" priority="64" operator="lessThan">
      <formula>0.8</formula>
    </cfRule>
  </conditionalFormatting>
  <conditionalFormatting sqref="AG22:AG27">
    <cfRule type="cellIs" dxfId="467" priority="61" operator="lessThan">
      <formula>0.8</formula>
    </cfRule>
  </conditionalFormatting>
  <conditionalFormatting sqref="AG29">
    <cfRule type="cellIs" dxfId="466" priority="63" operator="lessThan">
      <formula>0.8</formula>
    </cfRule>
  </conditionalFormatting>
  <conditionalFormatting sqref="AG38:AG44">
    <cfRule type="cellIs" dxfId="465" priority="59" operator="lessThan">
      <formula>0.8</formula>
    </cfRule>
  </conditionalFormatting>
  <conditionalFormatting sqref="AE63">
    <cfRule type="cellIs" dxfId="464" priority="55" operator="lessThan">
      <formula>0</formula>
    </cfRule>
  </conditionalFormatting>
  <conditionalFormatting sqref="AF63">
    <cfRule type="cellIs" dxfId="463" priority="53" operator="greaterThan">
      <formula>1</formula>
    </cfRule>
    <cfRule type="cellIs" dxfId="462" priority="54" operator="lessThan">
      <formula>0.8</formula>
    </cfRule>
  </conditionalFormatting>
  <conditionalFormatting sqref="O15:O16">
    <cfRule type="cellIs" dxfId="461" priority="48" operator="greaterThan">
      <formula>0</formula>
    </cfRule>
  </conditionalFormatting>
  <conditionalFormatting sqref="P15:P16">
    <cfRule type="cellIs" dxfId="460" priority="51" operator="lessThan">
      <formula>0</formula>
    </cfRule>
  </conditionalFormatting>
  <conditionalFormatting sqref="Q15:Q16">
    <cfRule type="cellIs" dxfId="459" priority="49" operator="greaterThan">
      <formula>1</formula>
    </cfRule>
    <cfRule type="cellIs" dxfId="458" priority="50" operator="lessThan">
      <formula>0.8</formula>
    </cfRule>
  </conditionalFormatting>
  <conditionalFormatting sqref="R15:R16 AG15:AG16">
    <cfRule type="cellIs" dxfId="457" priority="52" operator="lessThan">
      <formula>0.8</formula>
    </cfRule>
  </conditionalFormatting>
  <conditionalFormatting sqref="O9:O11">
    <cfRule type="cellIs" dxfId="456" priority="44" operator="greaterThan">
      <formula>0</formula>
    </cfRule>
  </conditionalFormatting>
  <conditionalFormatting sqref="P9:P11">
    <cfRule type="cellIs" dxfId="455" priority="47" operator="lessThan">
      <formula>0</formula>
    </cfRule>
  </conditionalFormatting>
  <conditionalFormatting sqref="Q9:Q11">
    <cfRule type="cellIs" dxfId="454" priority="45" operator="greaterThan">
      <formula>1</formula>
    </cfRule>
    <cfRule type="cellIs" dxfId="453" priority="46" operator="lessThan">
      <formula>0.8</formula>
    </cfRule>
  </conditionalFormatting>
  <conditionalFormatting sqref="O57">
    <cfRule type="cellIs" dxfId="452" priority="39" operator="greaterThan">
      <formula>0</formula>
    </cfRule>
  </conditionalFormatting>
  <conditionalFormatting sqref="P57">
    <cfRule type="cellIs" dxfId="451" priority="42" operator="lessThan">
      <formula>0</formula>
    </cfRule>
  </conditionalFormatting>
  <conditionalFormatting sqref="Q57">
    <cfRule type="cellIs" dxfId="450" priority="40" operator="greaterThan">
      <formula>1</formula>
    </cfRule>
    <cfRule type="cellIs" dxfId="449" priority="41" operator="lessThan">
      <formula>0.8</formula>
    </cfRule>
  </conditionalFormatting>
  <conditionalFormatting sqref="R57 AG57">
    <cfRule type="cellIs" dxfId="448" priority="43" operator="lessThan">
      <formula>0.8</formula>
    </cfRule>
  </conditionalFormatting>
  <conditionalFormatting sqref="O61">
    <cfRule type="cellIs" dxfId="447" priority="34" operator="greaterThan">
      <formula>0</formula>
    </cfRule>
  </conditionalFormatting>
  <conditionalFormatting sqref="P61 AE61">
    <cfRule type="cellIs" dxfId="446" priority="37" operator="lessThan">
      <formula>0</formula>
    </cfRule>
  </conditionalFormatting>
  <conditionalFormatting sqref="Q61 AF61">
    <cfRule type="cellIs" dxfId="445" priority="35" operator="greaterThan">
      <formula>1</formula>
    </cfRule>
    <cfRule type="cellIs" dxfId="444" priority="36" operator="lessThan">
      <formula>0.8</formula>
    </cfRule>
  </conditionalFormatting>
  <conditionalFormatting sqref="R61 AG61">
    <cfRule type="cellIs" dxfId="443" priority="38" operator="lessThan">
      <formula>0.8</formula>
    </cfRule>
  </conditionalFormatting>
  <conditionalFormatting sqref="O70">
    <cfRule type="cellIs" dxfId="442" priority="29" operator="greaterThan">
      <formula>0</formula>
    </cfRule>
  </conditionalFormatting>
  <conditionalFormatting sqref="P70">
    <cfRule type="cellIs" dxfId="441" priority="32" operator="lessThan">
      <formula>0</formula>
    </cfRule>
  </conditionalFormatting>
  <conditionalFormatting sqref="Q70">
    <cfRule type="cellIs" dxfId="440" priority="30" operator="greaterThan">
      <formula>1</formula>
    </cfRule>
    <cfRule type="cellIs" dxfId="439" priority="31" operator="lessThan">
      <formula>0.8</formula>
    </cfRule>
  </conditionalFormatting>
  <conditionalFormatting sqref="R70">
    <cfRule type="cellIs" dxfId="438" priority="33" operator="lessThan">
      <formula>0.8</formula>
    </cfRule>
  </conditionalFormatting>
  <conditionalFormatting sqref="O17:O18">
    <cfRule type="cellIs" dxfId="437" priority="24" operator="greaterThan">
      <formula>0</formula>
    </cfRule>
  </conditionalFormatting>
  <conditionalFormatting sqref="P17:P18">
    <cfRule type="cellIs" dxfId="436" priority="27" operator="lessThan">
      <formula>0</formula>
    </cfRule>
  </conditionalFormatting>
  <conditionalFormatting sqref="Q17:Q18">
    <cfRule type="cellIs" dxfId="435" priority="25" operator="greaterThan">
      <formula>1</formula>
    </cfRule>
    <cfRule type="cellIs" dxfId="434" priority="26" operator="lessThan">
      <formula>0.8</formula>
    </cfRule>
  </conditionalFormatting>
  <conditionalFormatting sqref="R17:R18 AG17:AG18">
    <cfRule type="cellIs" dxfId="433" priority="28" operator="lessThan">
      <formula>0.8</formula>
    </cfRule>
  </conditionalFormatting>
  <conditionalFormatting sqref="O60">
    <cfRule type="cellIs" dxfId="432" priority="19" operator="greaterThan">
      <formula>0</formula>
    </cfRule>
  </conditionalFormatting>
  <conditionalFormatting sqref="P60 AE60">
    <cfRule type="cellIs" dxfId="431" priority="22" operator="lessThan">
      <formula>0</formula>
    </cfRule>
  </conditionalFormatting>
  <conditionalFormatting sqref="Q60 AF60">
    <cfRule type="cellIs" dxfId="430" priority="20" operator="greaterThan">
      <formula>1</formula>
    </cfRule>
    <cfRule type="cellIs" dxfId="429" priority="21" operator="lessThan">
      <formula>0.8</formula>
    </cfRule>
  </conditionalFormatting>
  <conditionalFormatting sqref="R60 AG60">
    <cfRule type="cellIs" dxfId="428" priority="23" operator="lessThan">
      <formula>0.8</formula>
    </cfRule>
  </conditionalFormatting>
  <conditionalFormatting sqref="O19">
    <cfRule type="cellIs" dxfId="427" priority="14" operator="greaterThan">
      <formula>0</formula>
    </cfRule>
  </conditionalFormatting>
  <conditionalFormatting sqref="P19">
    <cfRule type="cellIs" dxfId="426" priority="17" operator="lessThan">
      <formula>0</formula>
    </cfRule>
  </conditionalFormatting>
  <conditionalFormatting sqref="Q19">
    <cfRule type="cellIs" dxfId="425" priority="15" operator="greaterThan">
      <formula>1</formula>
    </cfRule>
    <cfRule type="cellIs" dxfId="424" priority="16" operator="lessThan">
      <formula>0.8</formula>
    </cfRule>
  </conditionalFormatting>
  <conditionalFormatting sqref="AG19 R19">
    <cfRule type="cellIs" dxfId="423" priority="18" operator="lessThan">
      <formula>0.8</formula>
    </cfRule>
  </conditionalFormatting>
  <conditionalFormatting sqref="O20">
    <cfRule type="cellIs" dxfId="422" priority="9" operator="greaterThan">
      <formula>0</formula>
    </cfRule>
  </conditionalFormatting>
  <conditionalFormatting sqref="P20">
    <cfRule type="cellIs" dxfId="421" priority="12" operator="lessThan">
      <formula>0</formula>
    </cfRule>
  </conditionalFormatting>
  <conditionalFormatting sqref="Q20">
    <cfRule type="cellIs" dxfId="420" priority="10" operator="greaterThan">
      <formula>1</formula>
    </cfRule>
    <cfRule type="cellIs" dxfId="419" priority="11" operator="lessThan">
      <formula>0.8</formula>
    </cfRule>
  </conditionalFormatting>
  <conditionalFormatting sqref="AG20 R20">
    <cfRule type="cellIs" dxfId="418" priority="13" operator="lessThan">
      <formula>0.8</formula>
    </cfRule>
  </conditionalFormatting>
  <conditionalFormatting sqref="P7">
    <cfRule type="cellIs" dxfId="417" priority="8" operator="lessThan">
      <formula>0</formula>
    </cfRule>
  </conditionalFormatting>
  <conditionalFormatting sqref="P21">
    <cfRule type="cellIs" dxfId="416" priority="7" operator="lessThan">
      <formula>0</formula>
    </cfRule>
  </conditionalFormatting>
  <conditionalFormatting sqref="P28">
    <cfRule type="cellIs" dxfId="415" priority="6" operator="lessThan">
      <formula>0</formula>
    </cfRule>
  </conditionalFormatting>
  <conditionalFormatting sqref="P37">
    <cfRule type="cellIs" dxfId="414" priority="5" operator="lessThan">
      <formula>0</formula>
    </cfRule>
  </conditionalFormatting>
  <conditionalFormatting sqref="P50">
    <cfRule type="cellIs" dxfId="413" priority="4" operator="lessThan">
      <formula>0</formula>
    </cfRule>
  </conditionalFormatting>
  <conditionalFormatting sqref="P58">
    <cfRule type="cellIs" dxfId="412" priority="3" operator="lessThan">
      <formula>0</formula>
    </cfRule>
  </conditionalFormatting>
  <conditionalFormatting sqref="P63">
    <cfRule type="cellIs" dxfId="411" priority="2" operator="lessThan">
      <formula>0</formula>
    </cfRule>
  </conditionalFormatting>
  <conditionalFormatting sqref="P71">
    <cfRule type="cellIs" dxfId="410" priority="1" operator="lessThan">
      <formula>0</formula>
    </cfRule>
  </conditionalFormatting>
  <dataValidations count="1">
    <dataValidation type="list" allowBlank="1" showInputMessage="1" showErrorMessage="1" sqref="AB7 AA5:AB6 AB9:AB59 AA7:AA62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568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85</v>
      </c>
      <c r="C3" s="594" t="str">
        <f>TEXT('0706 4度C'!A2,"yyyy.mm.ddaaaa")</f>
        <v>2026.07.06星期一</v>
      </c>
      <c r="D3" s="595"/>
      <c r="E3" s="36" t="s">
        <v>86</v>
      </c>
      <c r="F3" s="596">
        <f>'0706 4度C'!D1</f>
        <v>190758</v>
      </c>
      <c r="G3" s="597"/>
      <c r="H3" s="36" t="s">
        <v>569</v>
      </c>
      <c r="I3" s="598">
        <f>'0706 4度C'!F1</f>
        <v>6629061.7099999981</v>
      </c>
      <c r="J3" s="599"/>
      <c r="K3" s="37"/>
      <c r="L3" s="38"/>
      <c r="M3" s="39"/>
      <c r="N3" s="39"/>
    </row>
    <row r="4" spans="2:17" ht="28.5" customHeight="1">
      <c r="B4" s="600" t="s">
        <v>570</v>
      </c>
      <c r="C4" s="586" t="s">
        <v>89</v>
      </c>
      <c r="D4" s="587"/>
      <c r="E4" s="603" t="s">
        <v>90</v>
      </c>
      <c r="F4" s="604"/>
      <c r="G4" s="603" t="s">
        <v>571</v>
      </c>
      <c r="H4" s="604"/>
      <c r="I4" s="603" t="s">
        <v>92</v>
      </c>
      <c r="J4" s="604"/>
      <c r="K4" s="584" t="s">
        <v>572</v>
      </c>
      <c r="L4" s="585"/>
      <c r="M4" s="585" t="s">
        <v>94</v>
      </c>
      <c r="N4" s="585"/>
    </row>
    <row r="5" spans="2:17" ht="28.5" customHeight="1">
      <c r="B5" s="601"/>
      <c r="C5" s="586" t="s">
        <v>95</v>
      </c>
      <c r="D5" s="587"/>
      <c r="E5" s="586" t="s">
        <v>573</v>
      </c>
      <c r="F5" s="587"/>
      <c r="G5" s="588" t="s">
        <v>574</v>
      </c>
      <c r="H5" s="589"/>
      <c r="I5" s="590" t="s">
        <v>575</v>
      </c>
      <c r="J5" s="591"/>
      <c r="K5" s="40" t="s">
        <v>576</v>
      </c>
      <c r="L5" s="41" t="s">
        <v>577</v>
      </c>
      <c r="M5" s="40" t="s">
        <v>578</v>
      </c>
      <c r="N5" s="41" t="s">
        <v>579</v>
      </c>
    </row>
    <row r="6" spans="2:17" ht="28.5" customHeight="1">
      <c r="B6" s="601"/>
      <c r="C6" s="586" t="s">
        <v>41</v>
      </c>
      <c r="D6" s="587"/>
      <c r="E6" s="578">
        <f>AVERAGE(D13:M13)</f>
        <v>157.75332610630912</v>
      </c>
      <c r="F6" s="579">
        <f>AVERAGE(D31:O31,D13:J13)</f>
        <v>166.52365436859878</v>
      </c>
      <c r="G6" s="580">
        <f>AVERAGE(D13:J13)</f>
        <v>166.52365436859878</v>
      </c>
      <c r="H6" s="581"/>
      <c r="I6" s="580">
        <f>AVERAGE(K13:M13)</f>
        <v>137.28922682763323</v>
      </c>
      <c r="J6" s="581"/>
      <c r="K6" s="582">
        <f>'0706 4度C'!Y2</f>
        <v>0</v>
      </c>
      <c r="L6" s="567">
        <f>'0706 4度C'!Z2</f>
        <v>0</v>
      </c>
      <c r="M6" s="583">
        <f>'0706 4度C'!AC2</f>
        <v>54</v>
      </c>
      <c r="N6" s="567">
        <f>'0706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150.86238301946506</v>
      </c>
      <c r="F7" s="571">
        <f>AVERAGE(D32:O32,D14:J14)</f>
        <v>159.29395099905238</v>
      </c>
      <c r="G7" s="572">
        <f>AVERAGE(D14:J14)</f>
        <v>159.29395099905238</v>
      </c>
      <c r="H7" s="573"/>
      <c r="I7" s="572">
        <f>AVERAGE(K14:M14)</f>
        <v>131.18872440042799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0.95643675870798683</v>
      </c>
      <c r="F8" s="575">
        <f>AVERAGE(D15:J15,D33:O33)</f>
        <v>0.9568343434686668</v>
      </c>
      <c r="G8" s="576">
        <f>AVERAGE(D15:J15)</f>
        <v>0.9568343434686668</v>
      </c>
      <c r="H8" s="577"/>
      <c r="I8" s="576">
        <f>AVERAGE(K15:M15)</f>
        <v>0.9555090609330672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580</v>
      </c>
      <c r="N9" s="39"/>
      <c r="O9" s="39"/>
      <c r="P9" s="39"/>
      <c r="Q9" s="39"/>
    </row>
    <row r="10" spans="2:17" ht="30" customHeight="1">
      <c r="B10" s="550" t="s">
        <v>210</v>
      </c>
      <c r="C10" s="551"/>
      <c r="D10" s="552" t="s">
        <v>581</v>
      </c>
      <c r="E10" s="553"/>
      <c r="F10" s="553"/>
      <c r="G10" s="553"/>
      <c r="H10" s="553"/>
      <c r="I10" s="553"/>
      <c r="J10" s="554"/>
      <c r="K10" s="555" t="s">
        <v>105</v>
      </c>
      <c r="L10" s="556"/>
      <c r="M10" s="557"/>
      <c r="P10" s="45"/>
      <c r="Q10" s="45"/>
    </row>
    <row r="11" spans="2:17" ht="17.25" customHeight="1">
      <c r="B11" s="558" t="s">
        <v>582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107</v>
      </c>
      <c r="C13" s="52" t="s">
        <v>215</v>
      </c>
      <c r="D13" s="53">
        <f>SUMIFS('0706 4度C'!$K:$K,'0706 4度C'!$A:$A,"新豐6線",'0706 4度C'!$B:$B,"平均")</f>
        <v>129.03225806451613</v>
      </c>
      <c r="E13" s="54">
        <f>SUMIFS('0706 4度C'!$K:$K,'0706 4度C'!$A:$A,"新豐2線",'0706 4度C'!$B:$B,"平均")</f>
        <v>88.235294117647058</v>
      </c>
      <c r="F13" s="55">
        <f>SUMIFS('0706 4度C'!$K:$K,'0706 4度C'!$A:$A,"新豐5線",'0706 4度C'!$B:$B,"平均")</f>
        <v>84.415584415584419</v>
      </c>
      <c r="G13" s="55">
        <f>SUMIFS('0706 4度C'!$K:$K,'0706 4度C'!$A:$A,"新豐7線",'0706 4度C'!$B:$B,"平均")</f>
        <v>119.99999999999999</v>
      </c>
      <c r="H13" s="55">
        <f>SUMIFS('0706 4度C'!$K:$K,'0706 4度C'!$A:$A,"新豐3線",'0706 4度C'!$B:$B,"平均")</f>
        <v>300</v>
      </c>
      <c r="I13" s="55">
        <f>SUMIFS('0706 4度C'!$K:$K,'0706 4度C'!$A:$A,"新豐1線",'0706 4度C'!$B:$B,"平均")</f>
        <v>119.65811965811965</v>
      </c>
      <c r="J13" s="56">
        <f>SUMIFS('0706 4度C'!$K:$K,'0706 4度C'!$A:$A,"新豐10線",'0706 4度C'!$B:$B,"平均")</f>
        <v>324.32432432432432</v>
      </c>
      <c r="K13" s="57">
        <f>SUMIFS('0706 4度C'!$K:$K,'0706 4度C'!$A:$A,"新豐8線",'0706 4度C'!$B:$B,"平均")</f>
        <v>137.70491803278691</v>
      </c>
      <c r="L13" s="58">
        <f>SUMIFS('0706 4度C'!$K:$K,'0706 4度C'!$A:$A,"新豐9線",'0706 4度C'!$B:$B,"平均")</f>
        <v>125.49019607843138</v>
      </c>
      <c r="M13" s="56">
        <f>SUMIFS('0706 4度C'!$K:$K,'0706 4度C'!$A:$A,"新豐4線",'0706 4度C'!$B:$B,"平均")</f>
        <v>148.67256637168143</v>
      </c>
    </row>
    <row r="14" spans="2:17" ht="39.6" customHeight="1">
      <c r="B14" s="563"/>
      <c r="C14" s="59" t="s">
        <v>109</v>
      </c>
      <c r="D14" s="60">
        <f>SUMIFS('0706 4度C'!$N:$N,'0706 4度C'!$A:$A,"新豐6線",'0706 4度C'!$B:$B,"平均")</f>
        <v>123.34382376081824</v>
      </c>
      <c r="E14" s="61">
        <f>SUMIFS('0706 4度C'!$N:$N,'0706 4度C'!$A:$A,"新豐2線",'0706 4度C'!$B:$B,"平均")</f>
        <v>84.16873580467086</v>
      </c>
      <c r="F14" s="61">
        <f>SUMIFS('0706 4度C'!$N:$N,'0706 4度C'!$A:$A,"新豐5線",'0706 4度C'!$B:$B,"平均")</f>
        <v>81.168181599304006</v>
      </c>
      <c r="G14" s="61">
        <f>SUMIFS('0706 4度C'!$N:$N,'0706 4度C'!$A:$A,"新豐7線",'0706 4度C'!$B:$B,"平均")</f>
        <v>114.71448686923007</v>
      </c>
      <c r="H14" s="61">
        <f>SUMIFS('0706 4度C'!$N:$N,'0706 4度C'!$A:$A,"新豐3線",'0706 4度C'!$B:$B,"平均")</f>
        <v>287.40951076320937</v>
      </c>
      <c r="I14" s="61">
        <f>SUMIFS('0706 4度C'!$N:$N,'0706 4度C'!$A:$A,"新豐1線",'0706 4度C'!$B:$B,"平均")</f>
        <v>114.60098007380128</v>
      </c>
      <c r="J14" s="62">
        <f>SUMIFS('0706 4度C'!$N:$N,'0706 4度C'!$A:$A,"新豐10線",'0706 4度C'!$B:$B,"平均")</f>
        <v>309.65193812233287</v>
      </c>
      <c r="K14" s="63">
        <f>SUMIFS('0706 4度C'!$N:$N,'0706 4度C'!$A:$A,"新豐8線",'0706 4度C'!$B:$B,"平均")</f>
        <v>131.37006398539924</v>
      </c>
      <c r="L14" s="64">
        <f>SUMIFS('0706 4度C'!$N:$N,'0706 4度C'!$A:$A,"新豐9線",'0706 4度C'!$B:$B,"平均")</f>
        <v>119.8729831575049</v>
      </c>
      <c r="M14" s="62">
        <f>SUMIFS('0706 4度C'!$N:$N,'0706 4度C'!$A:$A,"新豐4線",'0706 4度C'!$B:$B,"平均")</f>
        <v>142.32312605837978</v>
      </c>
    </row>
    <row r="15" spans="2:17" ht="40.15" customHeight="1">
      <c r="B15" s="564"/>
      <c r="C15" s="65" t="s">
        <v>583</v>
      </c>
      <c r="D15" s="66">
        <f t="shared" ref="D15:M15" si="0">D14/D13</f>
        <v>0.95591463414634137</v>
      </c>
      <c r="E15" s="67">
        <f t="shared" si="0"/>
        <v>0.95391233911960305</v>
      </c>
      <c r="F15" s="67">
        <f t="shared" si="0"/>
        <v>0.96153076663790893</v>
      </c>
      <c r="G15" s="67">
        <f t="shared" si="0"/>
        <v>0.95595405724358407</v>
      </c>
      <c r="H15" s="67">
        <f t="shared" si="0"/>
        <v>0.95803170254403125</v>
      </c>
      <c r="I15" s="67">
        <f t="shared" si="0"/>
        <v>0.95773676204533942</v>
      </c>
      <c r="J15" s="68">
        <f t="shared" si="0"/>
        <v>0.95476014254385966</v>
      </c>
      <c r="K15" s="66">
        <f t="shared" si="0"/>
        <v>0.95399689322730385</v>
      </c>
      <c r="L15" s="67">
        <f t="shared" si="0"/>
        <v>0.95523783453636713</v>
      </c>
      <c r="M15" s="68">
        <f t="shared" si="0"/>
        <v>0.95729245503553062</v>
      </c>
    </row>
    <row r="16" spans="2:17" ht="17.25" customHeight="1">
      <c r="B16" s="565" t="s">
        <v>218</v>
      </c>
      <c r="C16" s="69" t="s">
        <v>584</v>
      </c>
      <c r="D16" s="70">
        <f>VLOOKUP("新豐6線",'0706 4度C'!$A:$T,19,0)</f>
        <v>0.70833333333333337</v>
      </c>
      <c r="E16" s="71">
        <f>VLOOKUP("新豐2線",'0706 4度C'!$A:$T,19,0)</f>
        <v>8.3333333333333329E-2</v>
      </c>
      <c r="F16" s="71">
        <f>VLOOKUP("新豐5線",'0706 4度C'!$A:$T,19,0)</f>
        <v>8.3333333333333329E-2</v>
      </c>
      <c r="G16" s="71">
        <f>VLOOKUP("新豐7線",'0706 4度C'!$A:$T,19,0)</f>
        <v>0.20833333333333334</v>
      </c>
      <c r="H16" s="71">
        <f>VLOOKUP("新豐3線",'0706 4度C'!$A:$T,19,0)</f>
        <v>0.20833333333333334</v>
      </c>
      <c r="I16" s="71">
        <f>VLOOKUP("新豐1線",'0706 4度C'!$A:$T,19,0)</f>
        <v>0.20833333333333334</v>
      </c>
      <c r="J16" s="72">
        <f>VLOOKUP("新豐10線",'0706 4度C'!$A:$T,19,0)</f>
        <v>0.20833333333333334</v>
      </c>
      <c r="K16" s="73">
        <f>VLOOKUP("新豐8線",'0706 4度C'!$A:$T,19,0)</f>
        <v>8.3333333333333329E-2</v>
      </c>
      <c r="L16" s="74">
        <f>VLOOKUP("新豐9線",'0706 4度C'!$A:$T,19,0)</f>
        <v>8.3333333333333329E-2</v>
      </c>
      <c r="M16" s="75">
        <f>VLOOKUP("新豐4線",'0706 4度C'!$A:$T,19,0)</f>
        <v>8.3333333333333329E-2</v>
      </c>
    </row>
    <row r="17" spans="2:13" ht="17.25" customHeight="1">
      <c r="B17" s="566"/>
      <c r="C17" s="69" t="s">
        <v>316</v>
      </c>
      <c r="D17" s="73">
        <f>LOOKUP(2,1/(('0706 4度C'!$A:$A="新豐6線")*('0706 4度C'!$T:$T&lt;&gt;"")),'0706 4度C'!$T:$T)</f>
        <v>0.83750000000000002</v>
      </c>
      <c r="E17" s="71">
        <f>LOOKUP(2,1/(('0706 4度C'!$A:$A="新豐2線")*('0706 4度C'!$T:$T&lt;&gt;"")),'0706 4度C'!$T:$T)</f>
        <v>0.65902777777777766</v>
      </c>
      <c r="F17" s="71">
        <f>LOOKUP(2,1/(('0706 4度C'!$A:$A="新豐5線")*('0706 4度C'!$T:$T&lt;&gt;"")),'0706 4度C'!$T:$T)</f>
        <v>0.98263888888888884</v>
      </c>
      <c r="G17" s="71">
        <f>LOOKUP(2,1/(('0706 4度C'!$A:$A="新豐7線")*('0706 4度C'!$T:$T&lt;&gt;"")),'0706 4度C'!$T:$T)</f>
        <v>0.83680555555555558</v>
      </c>
      <c r="H17" s="71">
        <f>LOOKUP(2,1/(('0706 4度C'!$A:$A="新豐3線")*('0706 4度C'!$T:$T&lt;&gt;"")),'0706 4度C'!$T:$T)</f>
        <v>0.45069444444444445</v>
      </c>
      <c r="I17" s="71">
        <f>LOOKUP(2,1/(('0706 4度C'!$A:$A="新豐1線")*('0706 4度C'!$T:$T&lt;&gt;"")),'0706 4度C'!$T:$T)</f>
        <v>0.84305555555555556</v>
      </c>
      <c r="J17" s="72">
        <f>LOOKUP(2,1/(('0706 4度C'!$A:$A="新豐10線")*('0706 4度C'!$T:$T&lt;&gt;"")),'0706 4度C'!$T:$T)</f>
        <v>0.43541666666666662</v>
      </c>
      <c r="K17" s="70">
        <f>LOOKUP(2,1/(('0706 4度C'!$A:$A="新豐8線")*('0706 4度C'!$T:$T&lt;&gt;"")),'0706 4度C'!$T:$T)</f>
        <v>0.69444444444444453</v>
      </c>
      <c r="L17" s="71">
        <f>LOOKUP(2,1/(('0706 4度C'!$A:$A="新豐9線")*('0706 4度C'!$T:$T&lt;&gt;"")),'0706 4度C'!$T:$T)</f>
        <v>0.70624999999999993</v>
      </c>
      <c r="M17" s="72">
        <f>LOOKUP(2,1/(('0706 4度C'!$A:$A="新豐4線")*('0706 4度C'!$T:$T&lt;&gt;"")),'0706 4度C'!$T:$T)</f>
        <v>0.68541666666666645</v>
      </c>
    </row>
    <row r="18" spans="2:13" ht="17.25" customHeight="1">
      <c r="B18" s="544" t="s">
        <v>585</v>
      </c>
      <c r="C18" s="76" t="s">
        <v>68</v>
      </c>
      <c r="D18" s="77">
        <f>SUMIFS('0706 4度C'!$Y:$Y,'0706 4度C'!$A:$A,"新豐6線",'0706 4度C'!$B:$B,"平均")</f>
        <v>0</v>
      </c>
      <c r="E18" s="78">
        <f>SUMIFS('0706 4度C'!$Y:$Y,'0706 4度C'!$A:$A,"新豐2線",'0706 4度C'!$B:$B,"平均")</f>
        <v>0</v>
      </c>
      <c r="F18" s="78">
        <f>SUMIFS('0706 4度C'!$Y:$Y,'0706 4度C'!$A:$A,"新豐5線",'0706 4度C'!$B:$B,"平均")</f>
        <v>0</v>
      </c>
      <c r="G18" s="78">
        <f>SUMIFS('0706 4度C'!$Y:$Y,'0706 4度C'!$A:$A,"新豐7線",'0706 4度C'!$B:$B,"平均")</f>
        <v>0</v>
      </c>
      <c r="H18" s="78">
        <f>SUMIFS('0706 4度C'!$Y:$Y,'0706 4度C'!$A:$A,"新豐3線",'0706 4度C'!$B:$B,"平均")</f>
        <v>0</v>
      </c>
      <c r="I18" s="78">
        <f>SUMIFS('0706 4度C'!$Y:$Y,'0706 4度C'!$A:$A,"新豐1線",'0706 4度C'!$B:$B,"平均")</f>
        <v>0</v>
      </c>
      <c r="J18" s="79">
        <f>SUMIFS('0706 4度C'!$Y:$Y,'0706 4度C'!$A:$A,"新豐10線",'0706 4度C'!$B:$B,"平均")</f>
        <v>0</v>
      </c>
      <c r="K18" s="80">
        <f>SUMIFS('0706 4度C'!$Y:$Y,'0706 4度C'!$A:$A,"新豐8線",'0706 4度C'!$B:$B,"平均")</f>
        <v>0</v>
      </c>
      <c r="L18" s="78">
        <f>SUMIFS('0706 4度C'!$Y:$Y,'0706 4度C'!$A:$A,"新豐9線",'0706 4度C'!$B:$B,"平均")</f>
        <v>0</v>
      </c>
      <c r="M18" s="79">
        <f>SUMIFS('0706 4度C'!$Y:$Y,'0706 4度C'!$A:$A,"新豐4線",'0706 4度C'!$B:$B,"平均")</f>
        <v>0</v>
      </c>
    </row>
    <row r="19" spans="2:13" ht="17.25" customHeight="1">
      <c r="B19" s="545"/>
      <c r="C19" s="76" t="s">
        <v>586</v>
      </c>
      <c r="D19" s="77">
        <f>SUMIFS('0706 4度C'!$Z:$Z,'0706 4度C'!$A:$A,"新豐6線",'0706 4度C'!$B:$B,"平均")</f>
        <v>0</v>
      </c>
      <c r="E19" s="78">
        <f>SUMIFS('0706 4度C'!$Z:$Z,'0706 4度C'!$A:$A,"新豐2線",'0706 4度C'!$B:$B,"平均")</f>
        <v>0</v>
      </c>
      <c r="F19" s="78">
        <f>SUMIFS('0706 4度C'!$Z:$Z,'0706 4度C'!$A:$A,"新豐5線",'0706 4度C'!$B:$B,"平均")</f>
        <v>0</v>
      </c>
      <c r="G19" s="78">
        <f>SUMIFS('0706 4度C'!$Z:$Z,'0706 4度C'!$A:$A,"新豐7線",'0706 4度C'!$B:$B,"平均")</f>
        <v>0</v>
      </c>
      <c r="H19" s="78">
        <f>SUMIFS('0706 4度C'!$Z:$Z,'0706 4度C'!$A:$A,"新豐3線",'0706 4度C'!$B:$B,"平均")</f>
        <v>0</v>
      </c>
      <c r="I19" s="78">
        <f>SUMIFS('0706 4度C'!$Z:$Z,'0706 4度C'!$A:$A,"新豐1線",'0706 4度C'!$B:$B,"平均")</f>
        <v>0</v>
      </c>
      <c r="J19" s="79">
        <f>SUMIFS('0706 4度C'!$Z:$Z,'0706 4度C'!$A:$A,"新豐10線",'0706 4度C'!$B:$B,"平均")</f>
        <v>0</v>
      </c>
      <c r="K19" s="80">
        <f>SUMIFS('0706 4度C'!$Z:$Z,'0706 4度C'!$A:$A,"新豐8線",'0706 4度C'!$B:$B,"平均")</f>
        <v>0</v>
      </c>
      <c r="L19" s="78">
        <f>SUMIFS('0706 4度C'!$Z:$Z,'0706 4度C'!$A:$A,"新豐9線",'0706 4度C'!$B:$B,"平均")</f>
        <v>0</v>
      </c>
      <c r="M19" s="79">
        <f>SUMIFS('0706 4度C'!$Z:$Z,'0706 4度C'!$A:$A,"新豐4線",'0706 4度C'!$B:$B,"平均")</f>
        <v>0</v>
      </c>
    </row>
    <row r="20" spans="2:13" ht="17.25" customHeight="1">
      <c r="B20" s="544" t="s">
        <v>587</v>
      </c>
      <c r="C20" s="76" t="s">
        <v>588</v>
      </c>
      <c r="D20" s="77">
        <f>SUMIFS('0706 4度C'!$AC:$AC,'0706 4度C'!$A:$A,"新豐6線",'0706 4度C'!$B:$B,"平均")</f>
        <v>2</v>
      </c>
      <c r="E20" s="78">
        <f>SUMIFS('0706 4度C'!$AC:$AC,'0706 4度C'!$A:$A,"新豐2線",'0706 4度C'!$B:$B,"平均")</f>
        <v>4</v>
      </c>
      <c r="F20" s="78">
        <f>SUMIFS('0706 4度C'!$AC:$AC,'0706 4度C'!$A:$A,"新豐5線",'0706 4度C'!$B:$B,"平均")</f>
        <v>8</v>
      </c>
      <c r="G20" s="78">
        <f>SUMIFS('0706 4度C'!$AC:$AC,'0706 4度C'!$A:$A,"新豐7線",'0706 4度C'!$B:$B,"平均")</f>
        <v>6</v>
      </c>
      <c r="H20" s="78">
        <f>SUMIFS('0706 4度C'!$AC:$AC,'0706 4度C'!$A:$A,"新豐3線",'0706 4度C'!$B:$B,"平均")</f>
        <v>3</v>
      </c>
      <c r="I20" s="78">
        <f>SUMIFS('0706 4度C'!$AC:$AC,'0706 4度C'!$A:$A,"新豐1線",'0706 4度C'!$B:$B,"平均")</f>
        <v>7</v>
      </c>
      <c r="J20" s="79">
        <f>SUMIFS('0706 4度C'!$AC:$AC,'0706 4度C'!$A:$A,"新豐10線",'0706 4度C'!$B:$B,"平均")</f>
        <v>4</v>
      </c>
      <c r="K20" s="80">
        <f>SUMIFS('0706 4度C'!$AC:$AC,'0706 4度C'!$A:$A,"新豐8線",'0706 4度C'!$B:$B,"平均")</f>
        <v>7</v>
      </c>
      <c r="L20" s="78">
        <f>SUMIFS('0706 4度C'!$AC:$AC,'0706 4度C'!$A:$A,"新豐9線",'0706 4度C'!$B:$B,"平均")</f>
        <v>6</v>
      </c>
      <c r="M20" s="79">
        <f>SUMIFS('0706 4度C'!$AC:$AC,'0706 4度C'!$A:$A,"新豐4線",'0706 4度C'!$B:$B,"平均")</f>
        <v>7</v>
      </c>
    </row>
    <row r="21" spans="2:13" ht="17.25" customHeight="1">
      <c r="B21" s="545"/>
      <c r="C21" s="76" t="s">
        <v>117</v>
      </c>
      <c r="D21" s="77">
        <f>SUMIFS('0706 4度C'!$AD:$AD,'0706 4度C'!$A:$A,"新豐6線",'0706 4度C'!$B:$B,"平均")</f>
        <v>0</v>
      </c>
      <c r="E21" s="78">
        <f>SUMIFS('0706 4度C'!$AD:$AD,'0706 4度C'!$A:$A,"新豐2線",'0706 4度C'!$B:$B,"平均")</f>
        <v>0</v>
      </c>
      <c r="F21" s="78">
        <f>SUMIFS('0706 4度C'!$AD:$AD,'0706 4度C'!$A:$A,"新豐5線",'0706 4度C'!$B:$B,"平均")</f>
        <v>0</v>
      </c>
      <c r="G21" s="78">
        <f>SUMIFS('0706 4度C'!$AD:$AD,'0706 4度C'!$A:$A,"新豐7線",'0706 4度C'!$B:$B,"平均")</f>
        <v>0</v>
      </c>
      <c r="H21" s="78">
        <f>SUMIFS('0706 4度C'!$AD:$AD,'0706 4度C'!$A:$A,"新豐3線",'0706 4度C'!$B:$B,"平均")</f>
        <v>0</v>
      </c>
      <c r="I21" s="78">
        <f>SUMIFS('0706 4度C'!$AD:$AD,'0706 4度C'!$A:$A,"新豐1線",'0706 4度C'!$B:$B,"平均")</f>
        <v>0</v>
      </c>
      <c r="J21" s="79">
        <f>SUMIFS('0706 4度C'!$AD:$AD,'0706 4度C'!$A:$A,"新豐10線",'0706 4度C'!$B:$B,"平均")</f>
        <v>0</v>
      </c>
      <c r="K21" s="80">
        <f>SUMIFS('0706 4度C'!$AD:$AD,'0706 4度C'!$A:$A,"新豐8線",'0706 4度C'!$B:$B,"平均")</f>
        <v>0</v>
      </c>
      <c r="L21" s="78">
        <f>SUMIFS('0706 4度C'!$AD:$AD,'0706 4度C'!$A:$A,"新豐9線",'0706 4度C'!$B:$B,"平均")</f>
        <v>0</v>
      </c>
      <c r="M21" s="79">
        <f>SUMIFS('0706 4度C'!$AD:$AD,'0706 4度C'!$A:$A,"新豐4線",'0706 4度C'!$B:$B,"平均")</f>
        <v>0</v>
      </c>
    </row>
    <row r="22" spans="2:13" ht="17.25" customHeight="1">
      <c r="B22" s="546" t="s">
        <v>589</v>
      </c>
      <c r="C22" s="547"/>
      <c r="D22" s="81">
        <f>SUMIFS('0706 4度C'!$I:$I,'0706 4度C'!$A:$A,"新豐6線",'0706 4度C'!$B:$B,"平均")</f>
        <v>15.5</v>
      </c>
      <c r="E22" s="82">
        <f>SUMIFS('0706 4度C'!$I:$I,'0706 4度C'!$A:$A,"新豐2線",'0706 4度C'!$B:$B,"平均")</f>
        <v>17</v>
      </c>
      <c r="F22" s="82">
        <f>SUMIFS('0706 4度C'!$I:$I,'0706 4度C'!$A:$A,"新豐5線",'0706 4度C'!$B:$B,"平均")</f>
        <v>19.25</v>
      </c>
      <c r="G22" s="82">
        <f>SUMIFS('0706 4度C'!$I:$I,'0706 4度C'!$A:$A,"新豐7線",'0706 4度C'!$B:$B,"平均")</f>
        <v>16.666666666666668</v>
      </c>
      <c r="H22" s="82">
        <f>SUMIFS('0706 4度C'!$I:$I,'0706 4度C'!$A:$A,"新豐3線",'0706 4度C'!$B:$B,"平均")</f>
        <v>10</v>
      </c>
      <c r="I22" s="82">
        <f>SUMIFS('0706 4度C'!$I:$I,'0706 4度C'!$A:$A,"新豐1線",'0706 4度C'!$B:$B,"平均")</f>
        <v>16.714285714285715</v>
      </c>
      <c r="J22" s="83">
        <f>SUMIFS('0706 4度C'!$I:$I,'0706 4度C'!$A:$A,"新豐10線",'0706 4度C'!$B:$B,"平均")</f>
        <v>9.25</v>
      </c>
      <c r="K22" s="81">
        <f>SUMIFS('0706 4度C'!$I:$I,'0706 4度C'!$A:$A,"新豐8線",'0706 4度C'!$B:$B,"平均")</f>
        <v>17.428571428571427</v>
      </c>
      <c r="L22" s="82">
        <f>SUMIFS('0706 4度C'!$I:$I,'0706 4度C'!$A:$A,"新豐9線",'0706 4度C'!$B:$B,"平均")</f>
        <v>17</v>
      </c>
      <c r="M22" s="83">
        <f>SUMIFS('0706 4度C'!$I:$I,'0706 4度C'!$A:$A,"新豐4線",'0706 4度C'!$B:$B,"平均")</f>
        <v>16.142857142857142</v>
      </c>
    </row>
    <row r="23" spans="2:13" ht="17.25" customHeight="1">
      <c r="B23" s="546" t="s">
        <v>119</v>
      </c>
      <c r="C23" s="547"/>
      <c r="D23" s="84" t="s">
        <v>54</v>
      </c>
      <c r="E23" s="85" t="s">
        <v>55</v>
      </c>
      <c r="F23" s="85" t="s">
        <v>590</v>
      </c>
      <c r="G23" s="85" t="s">
        <v>324</v>
      </c>
      <c r="H23" s="85" t="s">
        <v>56</v>
      </c>
      <c r="I23" s="85" t="s">
        <v>54</v>
      </c>
      <c r="J23" s="86" t="s">
        <v>56</v>
      </c>
      <c r="K23" s="84" t="s">
        <v>121</v>
      </c>
      <c r="L23" s="85" t="s">
        <v>591</v>
      </c>
      <c r="M23" s="86" t="s">
        <v>121</v>
      </c>
    </row>
    <row r="24" spans="2:13" ht="17.25" customHeight="1">
      <c r="B24" s="546" t="s">
        <v>122</v>
      </c>
      <c r="C24" s="547"/>
      <c r="D24" s="84"/>
      <c r="E24" s="85"/>
      <c r="F24" s="85" t="s">
        <v>233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592</v>
      </c>
      <c r="C25" s="549"/>
      <c r="D25" s="87"/>
      <c r="E25" s="88" t="s">
        <v>125</v>
      </c>
      <c r="F25" s="542" t="s">
        <v>126</v>
      </c>
      <c r="G25" s="543"/>
      <c r="H25" s="88" t="s">
        <v>127</v>
      </c>
      <c r="I25" s="88" t="s">
        <v>593</v>
      </c>
      <c r="J25" s="89" t="s">
        <v>594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zoomScale="80" zoomScaleNormal="80" workbookViewId="0">
      <pane ySplit="4" topLeftCell="A16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130</v>
      </c>
      <c r="D1" s="3">
        <f>SUM(F5:F68)</f>
        <v>190758</v>
      </c>
      <c r="E1" s="169" t="s">
        <v>595</v>
      </c>
      <c r="F1" s="1">
        <f>SUM(G5:G68)</f>
        <v>6629061.7099999981</v>
      </c>
      <c r="G1" s="1" t="s">
        <v>132</v>
      </c>
      <c r="H1" s="4">
        <f>L7+L12+L47+L55+L21+L60+L36+L43+L28+L68</f>
        <v>154.95238095238096</v>
      </c>
      <c r="I1" s="654" t="s">
        <v>133</v>
      </c>
      <c r="J1" s="654"/>
      <c r="K1" s="654"/>
      <c r="L1" s="654" t="s">
        <v>134</v>
      </c>
      <c r="M1" s="654"/>
      <c r="N1" s="654"/>
      <c r="O1" s="654" t="s">
        <v>135</v>
      </c>
      <c r="P1" s="654"/>
      <c r="Q1" s="654"/>
      <c r="R1" s="654"/>
      <c r="S1" s="654" t="s">
        <v>596</v>
      </c>
      <c r="T1" s="654"/>
      <c r="U1" s="654"/>
      <c r="V1" s="654"/>
      <c r="W1" s="654"/>
      <c r="X1" s="654"/>
      <c r="Y1" s="5" t="s">
        <v>137</v>
      </c>
      <c r="Z1" s="6" t="s">
        <v>597</v>
      </c>
      <c r="AA1" s="655" t="s">
        <v>247</v>
      </c>
      <c r="AB1" s="655"/>
      <c r="AC1" s="92" t="s">
        <v>137</v>
      </c>
      <c r="AD1" s="6" t="s">
        <v>140</v>
      </c>
      <c r="AE1" s="654" t="s">
        <v>141</v>
      </c>
      <c r="AF1" s="656"/>
      <c r="AG1" s="656"/>
    </row>
    <row r="2" spans="1:33" ht="26.25" customHeight="1">
      <c r="A2" s="25">
        <v>46209</v>
      </c>
      <c r="B2" s="26" t="s">
        <v>598</v>
      </c>
      <c r="C2" s="2" t="s">
        <v>107</v>
      </c>
      <c r="D2" s="8">
        <f>AVERAGE(N7,N12,N47,N55,N21,N60,N28,N36,N43,N68)</f>
        <v>150.86238301946506</v>
      </c>
      <c r="E2" s="9" t="s">
        <v>0</v>
      </c>
      <c r="F2" s="10">
        <f>F1/D1</f>
        <v>34.75115963681732</v>
      </c>
      <c r="G2" s="1" t="s">
        <v>143</v>
      </c>
      <c r="H2" s="175">
        <f>COUNT(H5:H68)</f>
        <v>8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SUM(Y7+Y12+Y21+Y28+Y36+Y43+Y47+Y55+Y60+Y68)</f>
        <v>0</v>
      </c>
      <c r="Z2" s="11">
        <f>SUM(Z7+Z12+Z21+Z28+Z36+Z43+Z47+Z55+Z60+Z68)</f>
        <v>0</v>
      </c>
      <c r="AA2" s="655"/>
      <c r="AB2" s="655"/>
      <c r="AC2" s="11">
        <v>54</v>
      </c>
      <c r="AD2" s="11">
        <f>SUM(AD7+AD12+AD21+AD28+AD36+AD43+AD47+AD55+AD60+AD68)</f>
        <v>0</v>
      </c>
      <c r="AE2" s="656"/>
      <c r="AF2" s="656"/>
      <c r="AG2" s="656"/>
    </row>
    <row r="3" spans="1:33" ht="40.5" customHeight="1">
      <c r="A3" s="612" t="s">
        <v>599</v>
      </c>
      <c r="B3" s="612" t="s">
        <v>145</v>
      </c>
      <c r="C3" s="612" t="s">
        <v>600</v>
      </c>
      <c r="D3" s="612"/>
      <c r="E3" s="652" t="s">
        <v>147</v>
      </c>
      <c r="F3" s="612" t="s">
        <v>255</v>
      </c>
      <c r="G3" s="652" t="s">
        <v>149</v>
      </c>
      <c r="H3" s="645" t="s">
        <v>257</v>
      </c>
      <c r="I3" s="644" t="s">
        <v>601</v>
      </c>
      <c r="J3" s="641" t="s">
        <v>264</v>
      </c>
      <c r="K3" s="650" t="s">
        <v>107</v>
      </c>
      <c r="L3" s="644" t="s">
        <v>78</v>
      </c>
      <c r="M3" s="641" t="s">
        <v>264</v>
      </c>
      <c r="N3" s="650" t="s">
        <v>107</v>
      </c>
      <c r="O3" s="644" t="s">
        <v>601</v>
      </c>
      <c r="P3" s="650" t="s">
        <v>107</v>
      </c>
      <c r="Q3" s="642" t="s">
        <v>158</v>
      </c>
      <c r="R3" s="621" t="s">
        <v>159</v>
      </c>
      <c r="S3" s="651" t="s">
        <v>1</v>
      </c>
      <c r="T3" s="651"/>
      <c r="U3" s="645" t="s">
        <v>2</v>
      </c>
      <c r="V3" s="645" t="s">
        <v>602</v>
      </c>
      <c r="W3" s="612" t="s">
        <v>260</v>
      </c>
      <c r="X3" s="612"/>
      <c r="Y3" s="646" t="s">
        <v>603</v>
      </c>
      <c r="Z3" s="611"/>
      <c r="AA3" s="647" t="s">
        <v>163</v>
      </c>
      <c r="AB3" s="648"/>
      <c r="AC3" s="646" t="s">
        <v>164</v>
      </c>
      <c r="AD3" s="611"/>
      <c r="AE3" s="641" t="s">
        <v>264</v>
      </c>
      <c r="AF3" s="642" t="s">
        <v>158</v>
      </c>
      <c r="AG3" s="621" t="s">
        <v>604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74" t="s">
        <v>3</v>
      </c>
      <c r="T4" s="174" t="s">
        <v>4</v>
      </c>
      <c r="U4" s="645"/>
      <c r="V4" s="645"/>
      <c r="W4" s="169" t="s">
        <v>605</v>
      </c>
      <c r="X4" s="169" t="s">
        <v>167</v>
      </c>
      <c r="Y4" s="168" t="s">
        <v>606</v>
      </c>
      <c r="Z4" s="168" t="s">
        <v>607</v>
      </c>
      <c r="AA4" s="649"/>
      <c r="AB4" s="648"/>
      <c r="AC4" s="168" t="s">
        <v>608</v>
      </c>
      <c r="AD4" s="168" t="s">
        <v>609</v>
      </c>
      <c r="AE4" s="641"/>
      <c r="AF4" s="642"/>
      <c r="AG4" s="621"/>
    </row>
    <row r="5" spans="1:33">
      <c r="A5" s="643" t="s">
        <v>610</v>
      </c>
      <c r="B5" s="27" t="s">
        <v>5</v>
      </c>
      <c r="C5" s="657" t="s">
        <v>14</v>
      </c>
      <c r="D5" s="657"/>
      <c r="E5" s="27">
        <v>50.92</v>
      </c>
      <c r="F5" s="174">
        <v>2629</v>
      </c>
      <c r="G5" s="169">
        <f t="shared" ref="G5:G6" si="0">E5*F5</f>
        <v>133868.68</v>
      </c>
      <c r="H5" s="31" t="s">
        <v>40</v>
      </c>
      <c r="I5" s="172">
        <v>15</v>
      </c>
      <c r="J5" s="29">
        <v>2000</v>
      </c>
      <c r="K5" s="12">
        <f t="shared" ref="K5:K68" si="1">J5/I5</f>
        <v>133.33333333333334</v>
      </c>
      <c r="L5" s="172">
        <v>15</v>
      </c>
      <c r="M5" s="13">
        <f t="shared" ref="M5:M6" si="2">F5/V5*60</f>
        <v>1923.658536585365</v>
      </c>
      <c r="N5" s="12">
        <f t="shared" ref="N5:N68" si="3">M5/L5</f>
        <v>128.24390243902434</v>
      </c>
      <c r="O5" s="14">
        <f t="shared" ref="O5:O68" si="4">L5-I5</f>
        <v>0</v>
      </c>
      <c r="P5" s="15">
        <f t="shared" ref="P5:P68" si="5">N5-K5</f>
        <v>-5.0894308943090039</v>
      </c>
      <c r="Q5" s="170">
        <f t="shared" ref="Q5:Q68" si="6">N5/K5</f>
        <v>0.96182926829268245</v>
      </c>
      <c r="R5" s="616">
        <f>Q7</f>
        <v>0.95591463414634137</v>
      </c>
      <c r="S5" s="32">
        <v>0.70833333333333337</v>
      </c>
      <c r="T5" s="32">
        <v>0.76527777777777783</v>
      </c>
      <c r="U5" s="169"/>
      <c r="V5" s="173">
        <f t="shared" ref="V5:V6" si="7">(T5-S5)*24*60</f>
        <v>82.000000000000028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4" si="8">M5-J5</f>
        <v>-76.341463414634973</v>
      </c>
      <c r="AF5" s="170">
        <f t="shared" ref="AF5:AF68" si="9">M5/J5</f>
        <v>0.96182926829268256</v>
      </c>
      <c r="AG5" s="616">
        <f>AF7</f>
        <v>0.95591463414634137</v>
      </c>
    </row>
    <row r="6" spans="1:33">
      <c r="A6" s="644" t="s">
        <v>611</v>
      </c>
      <c r="B6" s="27" t="s">
        <v>5</v>
      </c>
      <c r="C6" s="657" t="s">
        <v>19</v>
      </c>
      <c r="D6" s="657"/>
      <c r="E6" s="27">
        <v>50.98</v>
      </c>
      <c r="F6" s="174">
        <v>3135</v>
      </c>
      <c r="G6" s="169">
        <f t="shared" si="0"/>
        <v>159822.29999999999</v>
      </c>
      <c r="H6" s="31" t="s">
        <v>40</v>
      </c>
      <c r="I6" s="172">
        <v>16</v>
      </c>
      <c r="J6" s="29">
        <v>2000</v>
      </c>
      <c r="K6" s="12">
        <f t="shared" si="1"/>
        <v>125</v>
      </c>
      <c r="L6" s="172">
        <v>16</v>
      </c>
      <c r="M6" s="13">
        <f t="shared" si="2"/>
        <v>1900.0000000000005</v>
      </c>
      <c r="N6" s="12">
        <f t="shared" si="3"/>
        <v>118.75000000000003</v>
      </c>
      <c r="O6" s="14">
        <f t="shared" si="4"/>
        <v>0</v>
      </c>
      <c r="P6" s="15">
        <f t="shared" si="5"/>
        <v>-6.2499999999999716</v>
      </c>
      <c r="Q6" s="170">
        <f t="shared" si="6"/>
        <v>0.95000000000000018</v>
      </c>
      <c r="R6" s="616"/>
      <c r="S6" s="32">
        <v>0.76875000000000004</v>
      </c>
      <c r="T6" s="32">
        <v>0.83750000000000002</v>
      </c>
      <c r="U6" s="169">
        <f t="shared" ref="U6" si="10">IF(S6=TIME(17,0,0),"",(S6-T5)*24*60)</f>
        <v>4.9999999999999822</v>
      </c>
      <c r="V6" s="173">
        <f t="shared" si="7"/>
        <v>98.999999999999972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-99.999999999999545</v>
      </c>
      <c r="AF6" s="170">
        <f t="shared" si="9"/>
        <v>0.95000000000000018</v>
      </c>
      <c r="AG6" s="616"/>
    </row>
    <row r="7" spans="1:33">
      <c r="A7" s="644" t="s">
        <v>610</v>
      </c>
      <c r="B7" s="27" t="s">
        <v>70</v>
      </c>
      <c r="C7" s="658"/>
      <c r="D7" s="658"/>
      <c r="E7" s="171"/>
      <c r="F7" s="28"/>
      <c r="G7" s="12"/>
      <c r="H7" s="174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1911.8292682926826</v>
      </c>
      <c r="N7" s="12">
        <f t="shared" si="3"/>
        <v>123.34382376081824</v>
      </c>
      <c r="O7" s="14">
        <f t="shared" si="4"/>
        <v>0</v>
      </c>
      <c r="P7" s="15">
        <f t="shared" si="5"/>
        <v>-5.688434303697889</v>
      </c>
      <c r="Q7" s="170">
        <f t="shared" si="6"/>
        <v>0.95591463414634137</v>
      </c>
      <c r="R7" s="616"/>
      <c r="S7" s="32"/>
      <c r="T7" s="32"/>
      <c r="U7" s="169"/>
      <c r="V7" s="17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-88.170731707317373</v>
      </c>
      <c r="AF7" s="170">
        <f t="shared" si="9"/>
        <v>0.95591463414634137</v>
      </c>
      <c r="AG7" s="616"/>
    </row>
    <row r="8" spans="1:33" ht="15.75" customHeight="1">
      <c r="A8" s="640" t="s">
        <v>175</v>
      </c>
      <c r="B8" s="27" t="s">
        <v>8</v>
      </c>
      <c r="C8" s="638" t="s">
        <v>9</v>
      </c>
      <c r="D8" s="639"/>
      <c r="E8" s="27">
        <v>39.619999999999997</v>
      </c>
      <c r="F8" s="174">
        <v>5398</v>
      </c>
      <c r="G8" s="169">
        <f t="shared" ref="G8:G11" si="11">E8*F8</f>
        <v>213868.75999999998</v>
      </c>
      <c r="H8" s="31" t="s">
        <v>40</v>
      </c>
      <c r="I8" s="172">
        <v>19</v>
      </c>
      <c r="J8" s="29">
        <v>1500</v>
      </c>
      <c r="K8" s="12">
        <f t="shared" si="1"/>
        <v>78.94736842105263</v>
      </c>
      <c r="L8" s="172">
        <v>19</v>
      </c>
      <c r="M8" s="13">
        <f t="shared" ref="M8:M11" si="12">F8/V8*60</f>
        <v>1426.784140969163</v>
      </c>
      <c r="N8" s="12">
        <f t="shared" si="3"/>
        <v>75.093902156271739</v>
      </c>
      <c r="O8" s="14">
        <f t="shared" si="4"/>
        <v>0</v>
      </c>
      <c r="P8" s="15">
        <f t="shared" si="5"/>
        <v>-3.8534662647808915</v>
      </c>
      <c r="Q8" s="170">
        <f t="shared" si="6"/>
        <v>0.95118942731277534</v>
      </c>
      <c r="R8" s="616">
        <f>Q12</f>
        <v>0.95391233911960305</v>
      </c>
      <c r="S8" s="32">
        <v>8.3333333333333329E-2</v>
      </c>
      <c r="T8" s="32">
        <v>0.2409722222222222</v>
      </c>
      <c r="U8" s="169"/>
      <c r="V8" s="173">
        <f t="shared" ref="V8:V11" si="13">(T8-S8)*24*60</f>
        <v>227</v>
      </c>
      <c r="W8" s="16">
        <f>T8</f>
        <v>0.2409722222222222</v>
      </c>
      <c r="X8" s="16">
        <f>S9</f>
        <v>0.25902777777777775</v>
      </c>
      <c r="Y8" s="16"/>
      <c r="Z8" s="16"/>
      <c r="AA8" s="612"/>
      <c r="AB8" s="612"/>
      <c r="AC8" s="18">
        <v>4</v>
      </c>
      <c r="AD8" s="18"/>
      <c r="AE8" s="14">
        <f t="shared" si="8"/>
        <v>-73.215859030837009</v>
      </c>
      <c r="AF8" s="170">
        <f t="shared" si="9"/>
        <v>0.95118942731277534</v>
      </c>
      <c r="AG8" s="616">
        <f>AF12</f>
        <v>0.95391233911960305</v>
      </c>
    </row>
    <row r="9" spans="1:33" ht="15.75" customHeight="1">
      <c r="A9" s="640" t="s">
        <v>175</v>
      </c>
      <c r="B9" s="27" t="s">
        <v>8</v>
      </c>
      <c r="C9" s="638" t="s">
        <v>63</v>
      </c>
      <c r="D9" s="639"/>
      <c r="E9" s="27">
        <v>39.46</v>
      </c>
      <c r="F9" s="174">
        <v>4518</v>
      </c>
      <c r="G9" s="169">
        <f t="shared" si="11"/>
        <v>178280.28</v>
      </c>
      <c r="H9" s="31" t="s">
        <v>40</v>
      </c>
      <c r="I9" s="172">
        <v>15</v>
      </c>
      <c r="J9" s="29">
        <v>1500</v>
      </c>
      <c r="K9" s="12">
        <f t="shared" si="1"/>
        <v>100</v>
      </c>
      <c r="L9" s="172">
        <v>15</v>
      </c>
      <c r="M9" s="13">
        <f t="shared" si="12"/>
        <v>1426.7368421052633</v>
      </c>
      <c r="N9" s="12">
        <f t="shared" si="3"/>
        <v>95.115789473684217</v>
      </c>
      <c r="O9" s="14">
        <f t="shared" si="4"/>
        <v>0</v>
      </c>
      <c r="P9" s="15">
        <f t="shared" si="5"/>
        <v>-4.8842105263157833</v>
      </c>
      <c r="Q9" s="170">
        <f t="shared" si="6"/>
        <v>0.9511578947368422</v>
      </c>
      <c r="R9" s="616"/>
      <c r="S9" s="32">
        <v>0.25902777777777775</v>
      </c>
      <c r="T9" s="32">
        <v>0.39097222222222217</v>
      </c>
      <c r="U9" s="169">
        <f t="shared" ref="U9:U11" si="14">IF(S9=TIME(17,0,0),"",(S9-T8)*24*60)</f>
        <v>25.999999999999986</v>
      </c>
      <c r="V9" s="173">
        <f t="shared" si="13"/>
        <v>189.99999999999997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-73.263157894736651</v>
      </c>
      <c r="AF9" s="170">
        <f t="shared" si="9"/>
        <v>0.9511578947368422</v>
      </c>
      <c r="AG9" s="616"/>
    </row>
    <row r="10" spans="1:33" ht="15.75" customHeight="1">
      <c r="A10" s="640" t="s">
        <v>612</v>
      </c>
      <c r="B10" s="27" t="s">
        <v>8</v>
      </c>
      <c r="C10" s="638" t="s">
        <v>10</v>
      </c>
      <c r="D10" s="639"/>
      <c r="E10" s="27">
        <v>39.799999999999997</v>
      </c>
      <c r="F10" s="174">
        <v>4300</v>
      </c>
      <c r="G10" s="169">
        <f t="shared" si="11"/>
        <v>171140</v>
      </c>
      <c r="H10" s="31">
        <v>2</v>
      </c>
      <c r="I10" s="172">
        <v>17</v>
      </c>
      <c r="J10" s="29">
        <v>1500</v>
      </c>
      <c r="K10" s="12">
        <f t="shared" si="1"/>
        <v>88.235294117647058</v>
      </c>
      <c r="L10" s="172">
        <v>17</v>
      </c>
      <c r="M10" s="13">
        <f t="shared" si="12"/>
        <v>1433.3333333333333</v>
      </c>
      <c r="N10" s="12">
        <f t="shared" si="3"/>
        <v>84.313725490196077</v>
      </c>
      <c r="O10" s="14">
        <f t="shared" si="4"/>
        <v>0</v>
      </c>
      <c r="P10" s="15">
        <f t="shared" si="5"/>
        <v>-3.9215686274509807</v>
      </c>
      <c r="Q10" s="170">
        <f t="shared" si="6"/>
        <v>0.9555555555555556</v>
      </c>
      <c r="R10" s="616"/>
      <c r="S10" s="32">
        <v>0.39444444444444438</v>
      </c>
      <c r="T10" s="32">
        <v>0.51944444444444438</v>
      </c>
      <c r="U10" s="169">
        <f t="shared" si="14"/>
        <v>4.9999999999999822</v>
      </c>
      <c r="V10" s="173">
        <f t="shared" si="13"/>
        <v>180</v>
      </c>
      <c r="W10" s="16">
        <f>T10</f>
        <v>0.51944444444444438</v>
      </c>
      <c r="X10" s="16">
        <f>S11</f>
        <v>0.56041666666666656</v>
      </c>
      <c r="Y10" s="16"/>
      <c r="Z10" s="16"/>
      <c r="AA10" s="612"/>
      <c r="AB10" s="612"/>
      <c r="AC10" s="18"/>
      <c r="AD10" s="18"/>
      <c r="AE10" s="14">
        <f t="shared" si="8"/>
        <v>-66.666666666666742</v>
      </c>
      <c r="AF10" s="170">
        <f t="shared" si="9"/>
        <v>0.95555555555555549</v>
      </c>
      <c r="AG10" s="616"/>
    </row>
    <row r="11" spans="1:33" ht="15.75" customHeight="1">
      <c r="A11" s="640" t="s">
        <v>175</v>
      </c>
      <c r="B11" s="27" t="s">
        <v>8</v>
      </c>
      <c r="C11" s="638" t="s">
        <v>10</v>
      </c>
      <c r="D11" s="639"/>
      <c r="E11" s="27">
        <v>39.799999999999997</v>
      </c>
      <c r="F11" s="174">
        <v>3400</v>
      </c>
      <c r="G11" s="169">
        <f t="shared" si="11"/>
        <v>135320</v>
      </c>
      <c r="H11" s="31" t="s">
        <v>40</v>
      </c>
      <c r="I11" s="172">
        <v>17</v>
      </c>
      <c r="J11" s="29">
        <v>1500</v>
      </c>
      <c r="K11" s="12">
        <f t="shared" si="1"/>
        <v>88.235294117647058</v>
      </c>
      <c r="L11" s="172">
        <v>17</v>
      </c>
      <c r="M11" s="13">
        <f t="shared" si="12"/>
        <v>1436.6197183098595</v>
      </c>
      <c r="N11" s="12">
        <f t="shared" si="3"/>
        <v>84.507042253521149</v>
      </c>
      <c r="O11" s="14">
        <f t="shared" si="4"/>
        <v>0</v>
      </c>
      <c r="P11" s="15">
        <f t="shared" si="5"/>
        <v>-3.7282518641259088</v>
      </c>
      <c r="Q11" s="170">
        <f t="shared" si="6"/>
        <v>0.95774647887323971</v>
      </c>
      <c r="R11" s="616"/>
      <c r="S11" s="32">
        <v>0.56041666666666656</v>
      </c>
      <c r="T11" s="32">
        <v>0.65902777777777766</v>
      </c>
      <c r="U11" s="169">
        <f t="shared" si="14"/>
        <v>58.99999999999995</v>
      </c>
      <c r="V11" s="173">
        <f t="shared" si="13"/>
        <v>141.99999999999997</v>
      </c>
      <c r="W11" s="16"/>
      <c r="X11" s="16"/>
      <c r="Y11" s="16"/>
      <c r="Z11" s="16"/>
      <c r="AA11" s="607"/>
      <c r="AB11" s="608"/>
      <c r="AC11" s="18"/>
      <c r="AD11" s="18"/>
      <c r="AE11" s="14">
        <f t="shared" si="8"/>
        <v>-63.380281690140464</v>
      </c>
      <c r="AF11" s="170">
        <f t="shared" si="9"/>
        <v>0.95774647887323971</v>
      </c>
      <c r="AG11" s="616"/>
    </row>
    <row r="12" spans="1:33" ht="16.5" customHeight="1">
      <c r="A12" s="640" t="s">
        <v>612</v>
      </c>
      <c r="B12" s="27" t="s">
        <v>613</v>
      </c>
      <c r="C12" s="658"/>
      <c r="D12" s="658"/>
      <c r="E12" s="171"/>
      <c r="F12" s="29"/>
      <c r="G12" s="13"/>
      <c r="H12" s="174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1430.8685086794046</v>
      </c>
      <c r="N12" s="12">
        <f t="shared" si="3"/>
        <v>84.16873580467086</v>
      </c>
      <c r="O12" s="14">
        <f t="shared" si="4"/>
        <v>0</v>
      </c>
      <c r="P12" s="15">
        <f t="shared" si="5"/>
        <v>-4.0665583129761984</v>
      </c>
      <c r="Q12" s="170">
        <f t="shared" si="6"/>
        <v>0.95391233911960305</v>
      </c>
      <c r="R12" s="616"/>
      <c r="S12" s="32"/>
      <c r="T12" s="32"/>
      <c r="U12" s="12"/>
      <c r="V12" s="173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-69.131491320595387</v>
      </c>
      <c r="AF12" s="170">
        <f t="shared" si="9"/>
        <v>0.95391233911960305</v>
      </c>
      <c r="AG12" s="616"/>
    </row>
    <row r="13" spans="1:33" ht="16.5" customHeight="1">
      <c r="A13" s="636" t="s">
        <v>614</v>
      </c>
      <c r="B13" s="174" t="s">
        <v>11</v>
      </c>
      <c r="C13" s="659" t="s">
        <v>67</v>
      </c>
      <c r="D13" s="659"/>
      <c r="E13" s="27">
        <v>38.619999999999997</v>
      </c>
      <c r="F13" s="174">
        <v>2495</v>
      </c>
      <c r="G13" s="169">
        <f t="shared" ref="G13:G20" si="15">E13*F13</f>
        <v>96356.9</v>
      </c>
      <c r="H13" s="31" t="s">
        <v>40</v>
      </c>
      <c r="I13" s="172">
        <v>24</v>
      </c>
      <c r="J13" s="29">
        <v>1500</v>
      </c>
      <c r="K13" s="12">
        <f t="shared" si="1"/>
        <v>62.5</v>
      </c>
      <c r="L13" s="172">
        <v>24</v>
      </c>
      <c r="M13" s="13">
        <f t="shared" ref="M13:M20" si="16">F13/V13*60</f>
        <v>1439.4230769230769</v>
      </c>
      <c r="N13" s="12">
        <f t="shared" si="3"/>
        <v>59.97596153846154</v>
      </c>
      <c r="O13" s="14">
        <f t="shared" si="4"/>
        <v>0</v>
      </c>
      <c r="P13" s="15">
        <f t="shared" si="5"/>
        <v>-2.5240384615384599</v>
      </c>
      <c r="Q13" s="170">
        <f t="shared" si="6"/>
        <v>0.95961538461538465</v>
      </c>
      <c r="R13" s="616">
        <f>Q21</f>
        <v>0.96153076663790893</v>
      </c>
      <c r="S13" s="32">
        <v>8.3333333333333329E-2</v>
      </c>
      <c r="T13" s="32">
        <v>0.15555555555555556</v>
      </c>
      <c r="U13" s="169"/>
      <c r="V13" s="173">
        <f t="shared" ref="V13:V20" si="17">(T13-S13)*24*60</f>
        <v>104</v>
      </c>
      <c r="W13" s="16">
        <f>T13</f>
        <v>0.15555555555555556</v>
      </c>
      <c r="X13" s="16">
        <f>S14</f>
        <v>0.1763888888888889</v>
      </c>
      <c r="Y13" s="20"/>
      <c r="Z13" s="20"/>
      <c r="AA13" s="612"/>
      <c r="AB13" s="612"/>
      <c r="AC13" s="18">
        <v>8</v>
      </c>
      <c r="AD13" s="18"/>
      <c r="AE13" s="14">
        <f t="shared" si="8"/>
        <v>-60.576923076923094</v>
      </c>
      <c r="AF13" s="170">
        <f t="shared" si="9"/>
        <v>0.95961538461538465</v>
      </c>
      <c r="AG13" s="616">
        <f>AF21</f>
        <v>0.96153076663790893</v>
      </c>
    </row>
    <row r="14" spans="1:33" ht="16.5" customHeight="1">
      <c r="A14" s="637" t="s">
        <v>178</v>
      </c>
      <c r="B14" s="174" t="s">
        <v>11</v>
      </c>
      <c r="C14" s="659" t="s">
        <v>12</v>
      </c>
      <c r="D14" s="659"/>
      <c r="E14" s="27">
        <v>41</v>
      </c>
      <c r="F14" s="174">
        <v>2229</v>
      </c>
      <c r="G14" s="169">
        <f t="shared" si="15"/>
        <v>91389</v>
      </c>
      <c r="H14" s="31" t="s">
        <v>40</v>
      </c>
      <c r="I14" s="172">
        <v>26</v>
      </c>
      <c r="J14" s="29">
        <v>1500</v>
      </c>
      <c r="K14" s="12">
        <f t="shared" si="1"/>
        <v>57.692307692307693</v>
      </c>
      <c r="L14" s="172">
        <v>26</v>
      </c>
      <c r="M14" s="13">
        <f t="shared" si="16"/>
        <v>1438.064516129032</v>
      </c>
      <c r="N14" s="12">
        <f t="shared" si="3"/>
        <v>55.310173697270457</v>
      </c>
      <c r="O14" s="14">
        <f t="shared" si="4"/>
        <v>0</v>
      </c>
      <c r="P14" s="15">
        <f t="shared" si="5"/>
        <v>-2.3821339950372362</v>
      </c>
      <c r="Q14" s="170">
        <f t="shared" si="6"/>
        <v>0.95870967741935453</v>
      </c>
      <c r="R14" s="616"/>
      <c r="S14" s="32">
        <v>0.1763888888888889</v>
      </c>
      <c r="T14" s="32">
        <v>0.24097222222222225</v>
      </c>
      <c r="U14" s="169">
        <f t="shared" ref="U14:U20" si="18">IF(S14=TIME(17,0,0),"",(S14-T13)*24*60)</f>
        <v>30.000000000000014</v>
      </c>
      <c r="V14" s="173">
        <f t="shared" si="17"/>
        <v>93.000000000000028</v>
      </c>
      <c r="W14" s="16"/>
      <c r="X14" s="16"/>
      <c r="Y14" s="16"/>
      <c r="Z14" s="16"/>
      <c r="AA14" s="612"/>
      <c r="AB14" s="612"/>
      <c r="AC14" s="18"/>
      <c r="AD14" s="18"/>
      <c r="AE14" s="14">
        <f t="shared" si="8"/>
        <v>-61.935483870968028</v>
      </c>
      <c r="AF14" s="170">
        <f t="shared" si="9"/>
        <v>0.95870967741935464</v>
      </c>
      <c r="AG14" s="616"/>
    </row>
    <row r="15" spans="1:33" ht="16.5" customHeight="1">
      <c r="A15" s="637" t="s">
        <v>614</v>
      </c>
      <c r="B15" s="174" t="s">
        <v>5</v>
      </c>
      <c r="C15" s="659" t="s">
        <v>66</v>
      </c>
      <c r="D15" s="659"/>
      <c r="E15" s="27">
        <v>37.03</v>
      </c>
      <c r="F15" s="174">
        <v>3798</v>
      </c>
      <c r="G15" s="169">
        <f t="shared" si="15"/>
        <v>140639.94</v>
      </c>
      <c r="H15" s="31" t="s">
        <v>40</v>
      </c>
      <c r="I15" s="172">
        <v>13</v>
      </c>
      <c r="J15" s="29">
        <v>1500</v>
      </c>
      <c r="K15" s="12">
        <f t="shared" si="1"/>
        <v>115.38461538461539</v>
      </c>
      <c r="L15" s="172">
        <v>13</v>
      </c>
      <c r="M15" s="13">
        <f t="shared" si="16"/>
        <v>1433.2075471698111</v>
      </c>
      <c r="N15" s="12">
        <f t="shared" si="3"/>
        <v>110.24673439767777</v>
      </c>
      <c r="O15" s="14">
        <f t="shared" si="4"/>
        <v>0</v>
      </c>
      <c r="P15" s="15">
        <f t="shared" si="5"/>
        <v>-5.137880986937617</v>
      </c>
      <c r="Q15" s="170">
        <f t="shared" si="6"/>
        <v>0.95547169811320731</v>
      </c>
      <c r="R15" s="616"/>
      <c r="S15" s="32">
        <v>0.24583333333333338</v>
      </c>
      <c r="T15" s="32">
        <v>0.35625000000000007</v>
      </c>
      <c r="U15" s="169">
        <f t="shared" si="18"/>
        <v>7.0000000000000151</v>
      </c>
      <c r="V15" s="173">
        <f t="shared" si="17"/>
        <v>159.00000000000003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-66.79245283018895</v>
      </c>
      <c r="AF15" s="170">
        <f t="shared" si="9"/>
        <v>0.95547169811320731</v>
      </c>
      <c r="AG15" s="616"/>
    </row>
    <row r="16" spans="1:33" ht="16.5" customHeight="1">
      <c r="A16" s="637" t="s">
        <v>614</v>
      </c>
      <c r="B16" s="174" t="s">
        <v>8</v>
      </c>
      <c r="C16" s="659" t="s">
        <v>74</v>
      </c>
      <c r="D16" s="659"/>
      <c r="E16" s="27">
        <v>39.520000000000003</v>
      </c>
      <c r="F16" s="174">
        <v>3446</v>
      </c>
      <c r="G16" s="169">
        <f t="shared" si="15"/>
        <v>136185.92000000001</v>
      </c>
      <c r="H16" s="31" t="s">
        <v>40</v>
      </c>
      <c r="I16" s="172">
        <v>19</v>
      </c>
      <c r="J16" s="29">
        <v>1500</v>
      </c>
      <c r="K16" s="12">
        <f t="shared" si="1"/>
        <v>78.94736842105263</v>
      </c>
      <c r="L16" s="172">
        <v>19</v>
      </c>
      <c r="M16" s="13">
        <f t="shared" si="16"/>
        <v>1435.8333333333337</v>
      </c>
      <c r="N16" s="12">
        <f t="shared" si="3"/>
        <v>75.570175438596507</v>
      </c>
      <c r="O16" s="14">
        <f t="shared" si="4"/>
        <v>0</v>
      </c>
      <c r="P16" s="15">
        <f t="shared" si="5"/>
        <v>-3.3771929824561226</v>
      </c>
      <c r="Q16" s="170">
        <f t="shared" si="6"/>
        <v>0.95722222222222242</v>
      </c>
      <c r="R16" s="616"/>
      <c r="S16" s="32">
        <v>0.36041666666666672</v>
      </c>
      <c r="T16" s="32">
        <v>0.4604166666666667</v>
      </c>
      <c r="U16" s="169">
        <f t="shared" si="18"/>
        <v>5.9999999999999787</v>
      </c>
      <c r="V16" s="173">
        <f t="shared" si="17"/>
        <v>143.99999999999997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-64.166666666666288</v>
      </c>
      <c r="AF16" s="170">
        <f t="shared" si="9"/>
        <v>0.95722222222222253</v>
      </c>
      <c r="AG16" s="616"/>
    </row>
    <row r="17" spans="1:33" ht="16.5" customHeight="1">
      <c r="A17" s="637" t="s">
        <v>178</v>
      </c>
      <c r="B17" s="174" t="s">
        <v>5</v>
      </c>
      <c r="C17" s="659" t="s">
        <v>6</v>
      </c>
      <c r="D17" s="659"/>
      <c r="E17" s="27">
        <v>50.67</v>
      </c>
      <c r="F17" s="174">
        <v>1802</v>
      </c>
      <c r="G17" s="169">
        <f t="shared" si="15"/>
        <v>91307.34</v>
      </c>
      <c r="H17" s="31" t="s">
        <v>40</v>
      </c>
      <c r="I17" s="172">
        <v>17</v>
      </c>
      <c r="J17" s="29">
        <v>2000</v>
      </c>
      <c r="K17" s="12">
        <f t="shared" si="1"/>
        <v>117.64705882352941</v>
      </c>
      <c r="L17" s="172">
        <v>17</v>
      </c>
      <c r="M17" s="13">
        <f t="shared" si="16"/>
        <v>1930.7142857142871</v>
      </c>
      <c r="N17" s="12">
        <f t="shared" si="3"/>
        <v>113.57142857142865</v>
      </c>
      <c r="O17" s="14">
        <f t="shared" si="4"/>
        <v>0</v>
      </c>
      <c r="P17" s="15">
        <f t="shared" si="5"/>
        <v>-4.0756302521007512</v>
      </c>
      <c r="Q17" s="170">
        <f t="shared" si="6"/>
        <v>0.96535714285714358</v>
      </c>
      <c r="R17" s="616"/>
      <c r="S17" s="32">
        <v>0.70833333333333337</v>
      </c>
      <c r="T17" s="32">
        <v>0.74722222222222223</v>
      </c>
      <c r="U17" s="169" t="str">
        <f t="shared" si="18"/>
        <v/>
      </c>
      <c r="V17" s="173">
        <f t="shared" si="17"/>
        <v>55.999999999999957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-69.285714285712857</v>
      </c>
      <c r="AF17" s="170">
        <f t="shared" si="9"/>
        <v>0.96535714285714358</v>
      </c>
      <c r="AG17" s="616"/>
    </row>
    <row r="18" spans="1:33" ht="16.5" customHeight="1">
      <c r="A18" s="637" t="s">
        <v>614</v>
      </c>
      <c r="B18" s="174" t="s">
        <v>5</v>
      </c>
      <c r="C18" s="106" t="s">
        <v>7</v>
      </c>
      <c r="D18" s="107"/>
      <c r="E18" s="27">
        <v>50.67</v>
      </c>
      <c r="F18" s="174">
        <v>1550</v>
      </c>
      <c r="G18" s="169">
        <f t="shared" si="15"/>
        <v>78538.5</v>
      </c>
      <c r="H18" s="31" t="s">
        <v>40</v>
      </c>
      <c r="I18" s="172">
        <v>15</v>
      </c>
      <c r="J18" s="29">
        <v>2000</v>
      </c>
      <c r="K18" s="12">
        <f t="shared" si="1"/>
        <v>133.33333333333334</v>
      </c>
      <c r="L18" s="172">
        <v>15</v>
      </c>
      <c r="M18" s="13">
        <f t="shared" si="16"/>
        <v>1937.5000000000007</v>
      </c>
      <c r="N18" s="12">
        <f t="shared" si="3"/>
        <v>129.16666666666671</v>
      </c>
      <c r="O18" s="14">
        <f t="shared" si="4"/>
        <v>0</v>
      </c>
      <c r="P18" s="15">
        <f t="shared" si="5"/>
        <v>-4.1666666666666288</v>
      </c>
      <c r="Q18" s="170">
        <f t="shared" si="6"/>
        <v>0.96875000000000033</v>
      </c>
      <c r="R18" s="616"/>
      <c r="S18" s="32">
        <v>0.75208333333333333</v>
      </c>
      <c r="T18" s="32">
        <v>0.78541666666666665</v>
      </c>
      <c r="U18" s="169">
        <f t="shared" si="18"/>
        <v>6.9999999999999751</v>
      </c>
      <c r="V18" s="173">
        <f t="shared" si="17"/>
        <v>47.999999999999986</v>
      </c>
      <c r="W18" s="16"/>
      <c r="X18" s="16"/>
      <c r="Y18" s="19"/>
      <c r="Z18" s="19"/>
      <c r="AA18" s="165"/>
      <c r="AB18" s="166"/>
      <c r="AC18" s="18"/>
      <c r="AD18" s="18"/>
      <c r="AE18" s="14">
        <f t="shared" si="8"/>
        <v>-62.499999999999318</v>
      </c>
      <c r="AF18" s="170">
        <f t="shared" si="9"/>
        <v>0.96875000000000033</v>
      </c>
      <c r="AG18" s="616"/>
    </row>
    <row r="19" spans="1:33" ht="16.5" customHeight="1">
      <c r="A19" s="637" t="s">
        <v>614</v>
      </c>
      <c r="B19" s="174" t="s">
        <v>5</v>
      </c>
      <c r="C19" s="106" t="s">
        <v>615</v>
      </c>
      <c r="D19" s="107"/>
      <c r="E19" s="27">
        <v>54.5</v>
      </c>
      <c r="F19" s="174">
        <v>1500</v>
      </c>
      <c r="G19" s="169">
        <f t="shared" si="15"/>
        <v>81750</v>
      </c>
      <c r="H19" s="31">
        <v>2</v>
      </c>
      <c r="I19" s="172">
        <v>20</v>
      </c>
      <c r="J19" s="29">
        <v>1500</v>
      </c>
      <c r="K19" s="12">
        <f t="shared" si="1"/>
        <v>75</v>
      </c>
      <c r="L19" s="172">
        <v>20</v>
      </c>
      <c r="M19" s="13">
        <f t="shared" si="16"/>
        <v>1451.6129032258077</v>
      </c>
      <c r="N19" s="12">
        <f t="shared" si="3"/>
        <v>72.580645161290391</v>
      </c>
      <c r="O19" s="14">
        <f t="shared" si="4"/>
        <v>0</v>
      </c>
      <c r="P19" s="15">
        <f t="shared" si="5"/>
        <v>-2.4193548387096087</v>
      </c>
      <c r="Q19" s="170">
        <f t="shared" si="6"/>
        <v>0.96774193548387188</v>
      </c>
      <c r="R19" s="616"/>
      <c r="S19" s="32">
        <v>0.78888888888888886</v>
      </c>
      <c r="T19" s="32">
        <v>0.83194444444444438</v>
      </c>
      <c r="U19" s="169">
        <f t="shared" si="18"/>
        <v>4.9999999999999822</v>
      </c>
      <c r="V19" s="173">
        <f t="shared" si="17"/>
        <v>61.999999999999943</v>
      </c>
      <c r="W19" s="16">
        <f>T19</f>
        <v>0.83194444444444438</v>
      </c>
      <c r="X19" s="16">
        <f>S20</f>
        <v>0.87291666666666656</v>
      </c>
      <c r="Y19" s="19"/>
      <c r="Z19" s="19"/>
      <c r="AA19" s="165"/>
      <c r="AB19" s="166"/>
      <c r="AC19" s="18"/>
      <c r="AD19" s="18"/>
      <c r="AE19" s="14">
        <f t="shared" si="8"/>
        <v>-48.387096774192287</v>
      </c>
      <c r="AF19" s="170">
        <f t="shared" si="9"/>
        <v>0.96774193548387177</v>
      </c>
      <c r="AG19" s="616"/>
    </row>
    <row r="20" spans="1:33" ht="16.5" customHeight="1">
      <c r="A20" s="637" t="s">
        <v>614</v>
      </c>
      <c r="B20" s="174" t="s">
        <v>5</v>
      </c>
      <c r="C20" s="106" t="s">
        <v>615</v>
      </c>
      <c r="D20" s="107"/>
      <c r="E20" s="27">
        <v>54.5</v>
      </c>
      <c r="F20" s="174">
        <v>3775</v>
      </c>
      <c r="G20" s="169">
        <f t="shared" si="15"/>
        <v>205737.5</v>
      </c>
      <c r="H20" s="31" t="s">
        <v>40</v>
      </c>
      <c r="I20" s="172">
        <v>20</v>
      </c>
      <c r="J20" s="29">
        <v>1500</v>
      </c>
      <c r="K20" s="12">
        <f t="shared" si="1"/>
        <v>75</v>
      </c>
      <c r="L20" s="172">
        <v>20</v>
      </c>
      <c r="M20" s="13">
        <f t="shared" si="16"/>
        <v>1433.5443037974676</v>
      </c>
      <c r="N20" s="12">
        <f t="shared" si="3"/>
        <v>71.67721518987338</v>
      </c>
      <c r="O20" s="14">
        <f t="shared" si="4"/>
        <v>0</v>
      </c>
      <c r="P20" s="15">
        <f t="shared" si="5"/>
        <v>-3.3227848101266204</v>
      </c>
      <c r="Q20" s="170">
        <f t="shared" si="6"/>
        <v>0.95569620253164511</v>
      </c>
      <c r="R20" s="616"/>
      <c r="S20" s="32">
        <v>0.87291666666666656</v>
      </c>
      <c r="T20" s="32">
        <v>0.98263888888888884</v>
      </c>
      <c r="U20" s="169">
        <f t="shared" si="18"/>
        <v>58.99999999999995</v>
      </c>
      <c r="V20" s="173">
        <f t="shared" si="17"/>
        <v>158.00000000000009</v>
      </c>
      <c r="W20" s="16"/>
      <c r="X20" s="16"/>
      <c r="Y20" s="19"/>
      <c r="Z20" s="19"/>
      <c r="AA20" s="165"/>
      <c r="AB20" s="166"/>
      <c r="AC20" s="18"/>
      <c r="AD20" s="18"/>
      <c r="AE20" s="14">
        <f t="shared" si="8"/>
        <v>-66.455696202532408</v>
      </c>
      <c r="AF20" s="170">
        <f t="shared" si="9"/>
        <v>0.95569620253164511</v>
      </c>
      <c r="AG20" s="616"/>
    </row>
    <row r="21" spans="1:33" ht="16.5" customHeight="1">
      <c r="A21" s="637" t="s">
        <v>178</v>
      </c>
      <c r="B21" s="27" t="s">
        <v>70</v>
      </c>
      <c r="C21" s="658"/>
      <c r="D21" s="658"/>
      <c r="E21" s="171"/>
      <c r="F21" s="28"/>
      <c r="G21" s="12"/>
      <c r="H21" s="174"/>
      <c r="I21" s="21">
        <v>19.25</v>
      </c>
      <c r="J21" s="29">
        <v>1625</v>
      </c>
      <c r="K21" s="12">
        <f t="shared" si="1"/>
        <v>84.415584415584419</v>
      </c>
      <c r="L21" s="21">
        <v>19.25</v>
      </c>
      <c r="M21" s="13">
        <f>AVERAGE(M13:M20)</f>
        <v>1562.487495786602</v>
      </c>
      <c r="N21" s="12">
        <f t="shared" si="3"/>
        <v>81.168181599304006</v>
      </c>
      <c r="O21" s="14">
        <f t="shared" si="4"/>
        <v>0</v>
      </c>
      <c r="P21" s="15">
        <f t="shared" si="5"/>
        <v>-3.2474028162804132</v>
      </c>
      <c r="Q21" s="170">
        <f t="shared" si="6"/>
        <v>0.96153076663790893</v>
      </c>
      <c r="R21" s="616"/>
      <c r="S21" s="32"/>
      <c r="T21" s="32"/>
      <c r="U21" s="169"/>
      <c r="V21" s="173"/>
      <c r="W21" s="12"/>
      <c r="X21" s="12"/>
      <c r="Y21" s="22">
        <f>SUM(Y13:Y20)</f>
        <v>0</v>
      </c>
      <c r="Z21" s="22">
        <f>SUM(Z13:Z20)</f>
        <v>0</v>
      </c>
      <c r="AA21" s="611"/>
      <c r="AB21" s="611"/>
      <c r="AC21" s="22">
        <v>8</v>
      </c>
      <c r="AD21" s="22">
        <f>SUM(AD13:AD20)</f>
        <v>0</v>
      </c>
      <c r="AE21" s="14">
        <f t="shared" si="8"/>
        <v>-62.51250421339796</v>
      </c>
      <c r="AF21" s="170">
        <f t="shared" si="9"/>
        <v>0.96153076663790893</v>
      </c>
      <c r="AG21" s="616"/>
    </row>
    <row r="22" spans="1:33" ht="15.75" customHeight="1">
      <c r="A22" s="634" t="s">
        <v>179</v>
      </c>
      <c r="B22" s="27" t="s">
        <v>5</v>
      </c>
      <c r="C22" s="659" t="s">
        <v>16</v>
      </c>
      <c r="D22" s="659"/>
      <c r="E22" s="27">
        <v>50.67</v>
      </c>
      <c r="F22" s="174">
        <v>2192</v>
      </c>
      <c r="G22" s="169">
        <f t="shared" ref="G22:G27" si="19">E22*F22</f>
        <v>111068.64</v>
      </c>
      <c r="H22" s="31" t="s">
        <v>40</v>
      </c>
      <c r="I22" s="172">
        <v>17</v>
      </c>
      <c r="J22" s="29">
        <v>2000</v>
      </c>
      <c r="K22" s="12">
        <f t="shared" si="1"/>
        <v>117.64705882352941</v>
      </c>
      <c r="L22" s="172">
        <v>17</v>
      </c>
      <c r="M22" s="13">
        <f t="shared" ref="M22:M27" si="20">F22/V22*60</f>
        <v>1906.0869565217404</v>
      </c>
      <c r="N22" s="12">
        <f t="shared" si="3"/>
        <v>112.12276214833767</v>
      </c>
      <c r="O22" s="14">
        <f t="shared" si="4"/>
        <v>0</v>
      </c>
      <c r="P22" s="15">
        <f t="shared" si="5"/>
        <v>-5.5242966751917351</v>
      </c>
      <c r="Q22" s="170">
        <f t="shared" si="6"/>
        <v>0.95304347826087021</v>
      </c>
      <c r="R22" s="616">
        <f>Q28</f>
        <v>0.95595405724358407</v>
      </c>
      <c r="S22" s="32">
        <v>0.20833333333333334</v>
      </c>
      <c r="T22" s="32">
        <v>0.25624999999999998</v>
      </c>
      <c r="U22" s="169"/>
      <c r="V22" s="173">
        <f t="shared" ref="V22:V27" si="21">(T22-S22)*24*60</f>
        <v>68.999999999999957</v>
      </c>
      <c r="W22" s="16"/>
      <c r="X22" s="16"/>
      <c r="Y22" s="20"/>
      <c r="Z22" s="20"/>
      <c r="AA22" s="612"/>
      <c r="AB22" s="612"/>
      <c r="AC22" s="18">
        <v>6</v>
      </c>
      <c r="AD22" s="18"/>
      <c r="AE22" s="14">
        <f t="shared" si="8"/>
        <v>-93.913043478259624</v>
      </c>
      <c r="AF22" s="170">
        <f t="shared" si="9"/>
        <v>0.95304347826087021</v>
      </c>
      <c r="AG22" s="616">
        <f>AF28</f>
        <v>0.95595405724358395</v>
      </c>
    </row>
    <row r="23" spans="1:33" ht="15.75" customHeight="1">
      <c r="A23" s="635" t="s">
        <v>179</v>
      </c>
      <c r="B23" s="27" t="s">
        <v>5</v>
      </c>
      <c r="C23" s="659" t="s">
        <v>17</v>
      </c>
      <c r="D23" s="659"/>
      <c r="E23" s="27">
        <v>57.73</v>
      </c>
      <c r="F23" s="174">
        <v>2822</v>
      </c>
      <c r="G23" s="169">
        <f t="shared" si="19"/>
        <v>162914.06</v>
      </c>
      <c r="H23" s="31" t="s">
        <v>40</v>
      </c>
      <c r="I23" s="172">
        <v>14</v>
      </c>
      <c r="J23" s="29">
        <v>2000</v>
      </c>
      <c r="K23" s="12">
        <f t="shared" si="1"/>
        <v>142.85714285714286</v>
      </c>
      <c r="L23" s="172">
        <v>14</v>
      </c>
      <c r="M23" s="13">
        <f t="shared" si="20"/>
        <v>1924.0909090909092</v>
      </c>
      <c r="N23" s="12">
        <f t="shared" si="3"/>
        <v>137.43506493506496</v>
      </c>
      <c r="O23" s="14">
        <f t="shared" si="4"/>
        <v>0</v>
      </c>
      <c r="P23" s="15">
        <f t="shared" si="5"/>
        <v>-5.4220779220779036</v>
      </c>
      <c r="Q23" s="170">
        <f t="shared" si="6"/>
        <v>0.96204545454545465</v>
      </c>
      <c r="R23" s="616"/>
      <c r="S23" s="32">
        <v>0.25972222222222219</v>
      </c>
      <c r="T23" s="32">
        <v>0.3208333333333333</v>
      </c>
      <c r="U23" s="169">
        <f t="shared" ref="U23:U27" si="22">IF(S23=TIME(17,0,0),"",(S23-T22)*24*60)</f>
        <v>4.9999999999999822</v>
      </c>
      <c r="V23" s="173">
        <f t="shared" si="21"/>
        <v>88</v>
      </c>
      <c r="W23" s="16"/>
      <c r="X23" s="169"/>
      <c r="Y23" s="169"/>
      <c r="Z23" s="169"/>
      <c r="AA23" s="612"/>
      <c r="AB23" s="612"/>
      <c r="AC23" s="18"/>
      <c r="AD23" s="18"/>
      <c r="AE23" s="14">
        <f t="shared" si="8"/>
        <v>-75.909090909090764</v>
      </c>
      <c r="AF23" s="170">
        <f t="shared" si="9"/>
        <v>0.96204545454545465</v>
      </c>
      <c r="AG23" s="616"/>
    </row>
    <row r="24" spans="1:33" ht="15.75" customHeight="1">
      <c r="A24" s="635" t="s">
        <v>179</v>
      </c>
      <c r="B24" s="27" t="s">
        <v>5</v>
      </c>
      <c r="C24" s="659" t="s">
        <v>60</v>
      </c>
      <c r="D24" s="659"/>
      <c r="E24" s="27">
        <v>53.27</v>
      </c>
      <c r="F24" s="174">
        <v>1933</v>
      </c>
      <c r="G24" s="169">
        <f t="shared" si="19"/>
        <v>102970.91</v>
      </c>
      <c r="H24" s="31" t="s">
        <v>40</v>
      </c>
      <c r="I24" s="172">
        <v>16</v>
      </c>
      <c r="J24" s="29">
        <v>2000</v>
      </c>
      <c r="K24" s="12">
        <f t="shared" si="1"/>
        <v>125</v>
      </c>
      <c r="L24" s="172">
        <v>16</v>
      </c>
      <c r="M24" s="13">
        <f t="shared" si="20"/>
        <v>1901.3114754098353</v>
      </c>
      <c r="N24" s="12">
        <f t="shared" si="3"/>
        <v>118.83196721311471</v>
      </c>
      <c r="O24" s="14">
        <f t="shared" si="4"/>
        <v>0</v>
      </c>
      <c r="P24" s="15">
        <f t="shared" si="5"/>
        <v>-6.1680327868852913</v>
      </c>
      <c r="Q24" s="170">
        <f t="shared" si="6"/>
        <v>0.95065573770491762</v>
      </c>
      <c r="R24" s="616"/>
      <c r="S24" s="32">
        <v>0.32499999999999996</v>
      </c>
      <c r="T24" s="32">
        <v>0.36736111111111108</v>
      </c>
      <c r="U24" s="169">
        <f t="shared" si="22"/>
        <v>5.9999999999999787</v>
      </c>
      <c r="V24" s="173">
        <f t="shared" si="21"/>
        <v>61.000000000000021</v>
      </c>
      <c r="W24" s="16"/>
      <c r="X24" s="169"/>
      <c r="Y24" s="169"/>
      <c r="Z24" s="169"/>
      <c r="AA24" s="612"/>
      <c r="AB24" s="612"/>
      <c r="AC24" s="18"/>
      <c r="AD24" s="18"/>
      <c r="AE24" s="14">
        <f t="shared" si="8"/>
        <v>-98.688524590164661</v>
      </c>
      <c r="AF24" s="170">
        <f t="shared" si="9"/>
        <v>0.95065573770491762</v>
      </c>
      <c r="AG24" s="616"/>
    </row>
    <row r="25" spans="1:33" ht="15.75" customHeight="1">
      <c r="A25" s="635" t="s">
        <v>179</v>
      </c>
      <c r="B25" s="27" t="s">
        <v>5</v>
      </c>
      <c r="C25" s="659" t="s">
        <v>81</v>
      </c>
      <c r="D25" s="659"/>
      <c r="E25" s="27">
        <v>51.44</v>
      </c>
      <c r="F25" s="174">
        <v>2229</v>
      </c>
      <c r="G25" s="169">
        <f t="shared" si="19"/>
        <v>114659.76</v>
      </c>
      <c r="H25" s="31" t="s">
        <v>40</v>
      </c>
      <c r="I25" s="172">
        <v>25</v>
      </c>
      <c r="J25" s="29">
        <v>2000</v>
      </c>
      <c r="K25" s="12">
        <f t="shared" si="1"/>
        <v>80</v>
      </c>
      <c r="L25" s="172">
        <v>25</v>
      </c>
      <c r="M25" s="13">
        <f t="shared" si="20"/>
        <v>1910.5714285714289</v>
      </c>
      <c r="N25" s="12">
        <f t="shared" si="3"/>
        <v>76.422857142857154</v>
      </c>
      <c r="O25" s="14">
        <f t="shared" si="4"/>
        <v>0</v>
      </c>
      <c r="P25" s="15">
        <f t="shared" si="5"/>
        <v>-3.5771428571428459</v>
      </c>
      <c r="Q25" s="170">
        <f t="shared" si="6"/>
        <v>0.9552857142857144</v>
      </c>
      <c r="R25" s="616"/>
      <c r="S25" s="32">
        <v>0.37083333333333329</v>
      </c>
      <c r="T25" s="32">
        <v>0.4194444444444444</v>
      </c>
      <c r="U25" s="169">
        <f t="shared" si="22"/>
        <v>4.9999999999999822</v>
      </c>
      <c r="V25" s="173">
        <f t="shared" si="21"/>
        <v>69.999999999999986</v>
      </c>
      <c r="W25" s="16"/>
      <c r="X25" s="169"/>
      <c r="Y25" s="169"/>
      <c r="Z25" s="169"/>
      <c r="AA25" s="612"/>
      <c r="AB25" s="612"/>
      <c r="AC25" s="18"/>
      <c r="AD25" s="18"/>
      <c r="AE25" s="14">
        <f t="shared" si="8"/>
        <v>-89.428571428571104</v>
      </c>
      <c r="AF25" s="170">
        <f t="shared" si="9"/>
        <v>0.9552857142857144</v>
      </c>
      <c r="AG25" s="616"/>
    </row>
    <row r="26" spans="1:33" ht="15.75" customHeight="1">
      <c r="A26" s="635" t="s">
        <v>179</v>
      </c>
      <c r="B26" s="27" t="s">
        <v>5</v>
      </c>
      <c r="C26" s="659" t="s">
        <v>18</v>
      </c>
      <c r="D26" s="659"/>
      <c r="E26" s="27">
        <v>50.49</v>
      </c>
      <c r="F26" s="174">
        <v>2175</v>
      </c>
      <c r="G26" s="169">
        <f t="shared" si="19"/>
        <v>109815.75</v>
      </c>
      <c r="H26" s="31" t="s">
        <v>40</v>
      </c>
      <c r="I26" s="172">
        <v>15</v>
      </c>
      <c r="J26" s="29">
        <v>2000</v>
      </c>
      <c r="K26" s="12">
        <f t="shared" si="1"/>
        <v>133.33333333333334</v>
      </c>
      <c r="L26" s="172">
        <v>15</v>
      </c>
      <c r="M26" s="13">
        <f t="shared" si="20"/>
        <v>1919.1176470588262</v>
      </c>
      <c r="N26" s="12">
        <f t="shared" si="3"/>
        <v>127.94117647058842</v>
      </c>
      <c r="O26" s="14">
        <f t="shared" si="4"/>
        <v>0</v>
      </c>
      <c r="P26" s="15">
        <f t="shared" si="5"/>
        <v>-5.3921568627449261</v>
      </c>
      <c r="Q26" s="170">
        <f t="shared" si="6"/>
        <v>0.95955882352941302</v>
      </c>
      <c r="R26" s="616"/>
      <c r="S26" s="32">
        <v>0.70833333333333337</v>
      </c>
      <c r="T26" s="32">
        <v>0.75555555555555554</v>
      </c>
      <c r="U26" s="169" t="str">
        <f t="shared" si="22"/>
        <v/>
      </c>
      <c r="V26" s="173">
        <f t="shared" si="21"/>
        <v>67.999999999999915</v>
      </c>
      <c r="W26" s="16"/>
      <c r="X26" s="16"/>
      <c r="Y26" s="169"/>
      <c r="Z26" s="169"/>
      <c r="AA26" s="612"/>
      <c r="AB26" s="612"/>
      <c r="AC26" s="18"/>
      <c r="AD26" s="18"/>
      <c r="AE26" s="14">
        <f t="shared" si="8"/>
        <v>-80.882352941173849</v>
      </c>
      <c r="AF26" s="170">
        <f t="shared" si="9"/>
        <v>0.95955882352941313</v>
      </c>
      <c r="AG26" s="616"/>
    </row>
    <row r="27" spans="1:33" ht="15.75" customHeight="1">
      <c r="A27" s="635" t="s">
        <v>616</v>
      </c>
      <c r="B27" s="27" t="s">
        <v>5</v>
      </c>
      <c r="C27" s="659" t="s">
        <v>62</v>
      </c>
      <c r="D27" s="659"/>
      <c r="E27" s="27">
        <v>51.06</v>
      </c>
      <c r="F27" s="174">
        <v>3534</v>
      </c>
      <c r="G27" s="169">
        <f t="shared" si="19"/>
        <v>180446.04</v>
      </c>
      <c r="H27" s="31" t="s">
        <v>40</v>
      </c>
      <c r="I27" s="172">
        <v>13</v>
      </c>
      <c r="J27" s="29">
        <v>2000</v>
      </c>
      <c r="K27" s="12">
        <f t="shared" si="1"/>
        <v>153.84615384615384</v>
      </c>
      <c r="L27" s="172">
        <v>13</v>
      </c>
      <c r="M27" s="13">
        <f t="shared" si="20"/>
        <v>1910.2702702702688</v>
      </c>
      <c r="N27" s="12">
        <f t="shared" si="3"/>
        <v>146.94386694386682</v>
      </c>
      <c r="O27" s="14">
        <f t="shared" si="4"/>
        <v>0</v>
      </c>
      <c r="P27" s="15">
        <f t="shared" si="5"/>
        <v>-6.9022869022870168</v>
      </c>
      <c r="Q27" s="170">
        <f t="shared" si="6"/>
        <v>0.95513513513513437</v>
      </c>
      <c r="R27" s="616"/>
      <c r="S27" s="32">
        <v>0.75972222222222219</v>
      </c>
      <c r="T27" s="32">
        <v>0.83680555555555558</v>
      </c>
      <c r="U27" s="169">
        <f t="shared" si="22"/>
        <v>5.9999999999999787</v>
      </c>
      <c r="V27" s="173">
        <f t="shared" si="21"/>
        <v>111.00000000000009</v>
      </c>
      <c r="W27" s="16"/>
      <c r="X27" s="20"/>
      <c r="Y27" s="20"/>
      <c r="Z27" s="20"/>
      <c r="AA27" s="612"/>
      <c r="AB27" s="612"/>
      <c r="AC27" s="18"/>
      <c r="AD27" s="18"/>
      <c r="AE27" s="14">
        <f t="shared" si="8"/>
        <v>-89.729729729731162</v>
      </c>
      <c r="AF27" s="170">
        <f t="shared" si="9"/>
        <v>0.95513513513513437</v>
      </c>
      <c r="AG27" s="616"/>
    </row>
    <row r="28" spans="1:33" ht="15.75" customHeight="1">
      <c r="A28" s="635" t="s">
        <v>179</v>
      </c>
      <c r="B28" s="27" t="s">
        <v>70</v>
      </c>
      <c r="C28" s="658"/>
      <c r="D28" s="658"/>
      <c r="E28" s="171"/>
      <c r="F28" s="174"/>
      <c r="G28" s="169"/>
      <c r="H28" s="174"/>
      <c r="I28" s="21">
        <v>16.666666666666668</v>
      </c>
      <c r="J28" s="29">
        <v>2000</v>
      </c>
      <c r="K28" s="12">
        <f t="shared" si="1"/>
        <v>119.99999999999999</v>
      </c>
      <c r="L28" s="21">
        <v>16.666666666666668</v>
      </c>
      <c r="M28" s="13">
        <f>AVERAGE(M22:M27)</f>
        <v>1911.9081144871679</v>
      </c>
      <c r="N28" s="12">
        <f t="shared" si="3"/>
        <v>114.71448686923007</v>
      </c>
      <c r="O28" s="14">
        <f t="shared" si="4"/>
        <v>0</v>
      </c>
      <c r="P28" s="15">
        <f t="shared" si="5"/>
        <v>-5.2855131307699139</v>
      </c>
      <c r="Q28" s="170">
        <f t="shared" si="6"/>
        <v>0.95595405724358407</v>
      </c>
      <c r="R28" s="616"/>
      <c r="S28" s="32"/>
      <c r="T28" s="32"/>
      <c r="U28" s="12"/>
      <c r="V28" s="173"/>
      <c r="W28" s="12"/>
      <c r="X28" s="12"/>
      <c r="Y28" s="22">
        <f>SUM(Y22:Y27)</f>
        <v>0</v>
      </c>
      <c r="Z28" s="22">
        <f>SUM(Z22:Z27)</f>
        <v>0</v>
      </c>
      <c r="AA28" s="611"/>
      <c r="AB28" s="611"/>
      <c r="AC28" s="22">
        <v>6</v>
      </c>
      <c r="AD28" s="22">
        <f>SUM(AD22:AD27)</f>
        <v>0</v>
      </c>
      <c r="AE28" s="14">
        <f t="shared" si="8"/>
        <v>-88.09188551283205</v>
      </c>
      <c r="AF28" s="170">
        <f t="shared" si="9"/>
        <v>0.95595405724358395</v>
      </c>
      <c r="AG28" s="616"/>
    </row>
    <row r="29" spans="1:33" ht="15.75" customHeight="1">
      <c r="A29" s="633" t="s">
        <v>617</v>
      </c>
      <c r="B29" s="27" t="s">
        <v>20</v>
      </c>
      <c r="C29" s="659" t="s">
        <v>21</v>
      </c>
      <c r="D29" s="659"/>
      <c r="E29" s="27">
        <v>31.29</v>
      </c>
      <c r="F29" s="174">
        <v>5800</v>
      </c>
      <c r="G29" s="169">
        <f t="shared" ref="G29:G35" si="23">E29*F29</f>
        <v>181482</v>
      </c>
      <c r="H29" s="31">
        <v>2</v>
      </c>
      <c r="I29" s="172">
        <v>18</v>
      </c>
      <c r="J29" s="29">
        <v>2400</v>
      </c>
      <c r="K29" s="12">
        <f t="shared" si="1"/>
        <v>133.33333333333334</v>
      </c>
      <c r="L29" s="172">
        <v>18</v>
      </c>
      <c r="M29" s="13">
        <f t="shared" ref="M29:M35" si="24">F29/V29*60</f>
        <v>2289.4736842105262</v>
      </c>
      <c r="N29" s="12">
        <f t="shared" si="3"/>
        <v>127.19298245614034</v>
      </c>
      <c r="O29" s="14">
        <f t="shared" si="4"/>
        <v>0</v>
      </c>
      <c r="P29" s="15">
        <f t="shared" si="5"/>
        <v>-6.1403508771930007</v>
      </c>
      <c r="Q29" s="170">
        <f t="shared" si="6"/>
        <v>0.95394736842105254</v>
      </c>
      <c r="R29" s="616">
        <f>Q36</f>
        <v>0.95399689322730385</v>
      </c>
      <c r="S29" s="32">
        <v>8.3333333333333329E-2</v>
      </c>
      <c r="T29" s="32">
        <v>0.18888888888888888</v>
      </c>
      <c r="U29" s="169"/>
      <c r="V29" s="173">
        <f t="shared" ref="V29:V35" si="25">(T29-S29)*24*60</f>
        <v>152</v>
      </c>
      <c r="W29" s="16">
        <f>T29</f>
        <v>0.18888888888888888</v>
      </c>
      <c r="X29" s="16">
        <f>S30</f>
        <v>0.20833333333333331</v>
      </c>
      <c r="Y29" s="16"/>
      <c r="Z29" s="16"/>
      <c r="AA29" s="612"/>
      <c r="AB29" s="612"/>
      <c r="AC29" s="18">
        <v>7</v>
      </c>
      <c r="AD29" s="18"/>
      <c r="AE29" s="14">
        <f t="shared" si="8"/>
        <v>-110.52631578947376</v>
      </c>
      <c r="AF29" s="170">
        <f t="shared" si="9"/>
        <v>0.95394736842105265</v>
      </c>
      <c r="AG29" s="616">
        <f>AF36</f>
        <v>0.95399689322730385</v>
      </c>
    </row>
    <row r="30" spans="1:33" ht="15.75" customHeight="1">
      <c r="A30" s="633" t="s">
        <v>617</v>
      </c>
      <c r="B30" s="27" t="s">
        <v>20</v>
      </c>
      <c r="C30" s="659" t="s">
        <v>22</v>
      </c>
      <c r="D30" s="659"/>
      <c r="E30" s="27">
        <v>26.37</v>
      </c>
      <c r="F30" s="174">
        <v>4000</v>
      </c>
      <c r="G30" s="169">
        <f t="shared" si="23"/>
        <v>105480</v>
      </c>
      <c r="H30" s="31">
        <v>2</v>
      </c>
      <c r="I30" s="172">
        <v>18</v>
      </c>
      <c r="J30" s="29">
        <v>2400</v>
      </c>
      <c r="K30" s="12">
        <f t="shared" si="1"/>
        <v>133.33333333333334</v>
      </c>
      <c r="L30" s="172">
        <v>18</v>
      </c>
      <c r="M30" s="13">
        <f t="shared" si="24"/>
        <v>2285.7142857142853</v>
      </c>
      <c r="N30" s="12">
        <f t="shared" si="3"/>
        <v>126.98412698412696</v>
      </c>
      <c r="O30" s="14">
        <f t="shared" si="4"/>
        <v>0</v>
      </c>
      <c r="P30" s="15">
        <f t="shared" si="5"/>
        <v>-6.3492063492063835</v>
      </c>
      <c r="Q30" s="170">
        <f t="shared" si="6"/>
        <v>0.95238095238095211</v>
      </c>
      <c r="R30" s="616"/>
      <c r="S30" s="32">
        <v>0.20833333333333331</v>
      </c>
      <c r="T30" s="32">
        <v>0.28125</v>
      </c>
      <c r="U30" s="169">
        <f t="shared" ref="U30:U35" si="26">(S30-T29)*24*60</f>
        <v>27.999999999999979</v>
      </c>
      <c r="V30" s="173">
        <f t="shared" si="25"/>
        <v>105.00000000000003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-114.28571428571468</v>
      </c>
      <c r="AF30" s="170">
        <f t="shared" si="9"/>
        <v>0.95238095238095222</v>
      </c>
      <c r="AG30" s="616"/>
    </row>
    <row r="31" spans="1:33" ht="15.75" customHeight="1">
      <c r="A31" s="633" t="s">
        <v>618</v>
      </c>
      <c r="B31" s="27" t="s">
        <v>20</v>
      </c>
      <c r="C31" s="659" t="s">
        <v>57</v>
      </c>
      <c r="D31" s="659"/>
      <c r="E31" s="27">
        <v>26.18</v>
      </c>
      <c r="F31" s="174">
        <v>4800</v>
      </c>
      <c r="G31" s="169">
        <f t="shared" si="23"/>
        <v>125664</v>
      </c>
      <c r="H31" s="31">
        <v>2</v>
      </c>
      <c r="I31" s="172">
        <v>18</v>
      </c>
      <c r="J31" s="29">
        <v>2400</v>
      </c>
      <c r="K31" s="12">
        <f t="shared" si="1"/>
        <v>133.33333333333334</v>
      </c>
      <c r="L31" s="172">
        <v>18</v>
      </c>
      <c r="M31" s="13">
        <f t="shared" si="24"/>
        <v>2285.7142857142853</v>
      </c>
      <c r="N31" s="12">
        <f t="shared" si="3"/>
        <v>126.98412698412696</v>
      </c>
      <c r="O31" s="14">
        <f t="shared" si="4"/>
        <v>0</v>
      </c>
      <c r="P31" s="15">
        <f t="shared" si="5"/>
        <v>-6.3492063492063835</v>
      </c>
      <c r="Q31" s="170">
        <f t="shared" si="6"/>
        <v>0.95238095238095211</v>
      </c>
      <c r="R31" s="616"/>
      <c r="S31" s="32">
        <v>0.28472222222222221</v>
      </c>
      <c r="T31" s="32">
        <v>0.37222222222222223</v>
      </c>
      <c r="U31" s="169">
        <f t="shared" si="26"/>
        <v>4.9999999999999822</v>
      </c>
      <c r="V31" s="173">
        <f t="shared" si="25"/>
        <v>126.00000000000003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-114.28571428571468</v>
      </c>
      <c r="AF31" s="170">
        <f t="shared" si="9"/>
        <v>0.95238095238095222</v>
      </c>
      <c r="AG31" s="616"/>
    </row>
    <row r="32" spans="1:33" ht="15.75" customHeight="1">
      <c r="A32" s="633" t="s">
        <v>618</v>
      </c>
      <c r="B32" s="27" t="s">
        <v>20</v>
      </c>
      <c r="C32" s="659" t="s">
        <v>64</v>
      </c>
      <c r="D32" s="659"/>
      <c r="E32" s="27">
        <v>20.21</v>
      </c>
      <c r="F32" s="174">
        <v>3194</v>
      </c>
      <c r="G32" s="169">
        <f t="shared" si="23"/>
        <v>64550.740000000005</v>
      </c>
      <c r="H32" s="31" t="s">
        <v>40</v>
      </c>
      <c r="I32" s="172">
        <v>18</v>
      </c>
      <c r="J32" s="29">
        <v>2400</v>
      </c>
      <c r="K32" s="12">
        <f t="shared" si="1"/>
        <v>133.33333333333334</v>
      </c>
      <c r="L32" s="172">
        <v>18</v>
      </c>
      <c r="M32" s="13">
        <f t="shared" si="24"/>
        <v>2281.4285714285706</v>
      </c>
      <c r="N32" s="12">
        <f t="shared" si="3"/>
        <v>126.7460317460317</v>
      </c>
      <c r="O32" s="14">
        <f t="shared" si="4"/>
        <v>0</v>
      </c>
      <c r="P32" s="15">
        <f t="shared" si="5"/>
        <v>-6.5873015873016385</v>
      </c>
      <c r="Q32" s="170">
        <f t="shared" si="6"/>
        <v>0.95059523809523772</v>
      </c>
      <c r="R32" s="616"/>
      <c r="S32" s="32">
        <v>0.37638888888888888</v>
      </c>
      <c r="T32" s="32">
        <v>0.43472222222222223</v>
      </c>
      <c r="U32" s="169">
        <f t="shared" si="26"/>
        <v>5.9999999999999787</v>
      </c>
      <c r="V32" s="173">
        <f t="shared" si="25"/>
        <v>84.000000000000028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-118.57142857142935</v>
      </c>
      <c r="AF32" s="170">
        <f t="shared" si="9"/>
        <v>0.95059523809523772</v>
      </c>
      <c r="AG32" s="616"/>
    </row>
    <row r="33" spans="1:33" ht="15.75" customHeight="1">
      <c r="A33" s="633" t="s">
        <v>617</v>
      </c>
      <c r="B33" s="27" t="s">
        <v>20</v>
      </c>
      <c r="C33" s="659" t="s">
        <v>23</v>
      </c>
      <c r="D33" s="659"/>
      <c r="E33" s="27">
        <v>25.99</v>
      </c>
      <c r="F33" s="174">
        <v>4493</v>
      </c>
      <c r="G33" s="169">
        <f t="shared" si="23"/>
        <v>116773.06999999999</v>
      </c>
      <c r="H33" s="31" t="s">
        <v>40</v>
      </c>
      <c r="I33" s="172">
        <v>14</v>
      </c>
      <c r="J33" s="29">
        <v>2400</v>
      </c>
      <c r="K33" s="12">
        <f t="shared" si="1"/>
        <v>171.42857142857142</v>
      </c>
      <c r="L33" s="172">
        <v>14</v>
      </c>
      <c r="M33" s="13">
        <f t="shared" si="24"/>
        <v>2284.5762711864395</v>
      </c>
      <c r="N33" s="12">
        <f t="shared" si="3"/>
        <v>163.18401937045996</v>
      </c>
      <c r="O33" s="14">
        <f t="shared" si="4"/>
        <v>0</v>
      </c>
      <c r="P33" s="15">
        <f t="shared" si="5"/>
        <v>-8.2445520581114522</v>
      </c>
      <c r="Q33" s="170">
        <f t="shared" si="6"/>
        <v>0.95190677966101656</v>
      </c>
      <c r="R33" s="616"/>
      <c r="S33" s="32">
        <v>0.43819444444444444</v>
      </c>
      <c r="T33" s="32">
        <v>0.52013888888888893</v>
      </c>
      <c r="U33" s="169">
        <f t="shared" si="26"/>
        <v>4.9999999999999822</v>
      </c>
      <c r="V33" s="173">
        <f t="shared" si="25"/>
        <v>118.00000000000006</v>
      </c>
      <c r="W33" s="16">
        <f>T33</f>
        <v>0.52013888888888893</v>
      </c>
      <c r="X33" s="16">
        <f>S34</f>
        <v>0.55972222222222223</v>
      </c>
      <c r="Y33" s="16"/>
      <c r="Z33" s="16"/>
      <c r="AA33" s="612"/>
      <c r="AB33" s="612"/>
      <c r="AC33" s="18"/>
      <c r="AD33" s="18"/>
      <c r="AE33" s="14">
        <f t="shared" si="8"/>
        <v>-115.4237288135605</v>
      </c>
      <c r="AF33" s="170">
        <f t="shared" si="9"/>
        <v>0.95190677966101644</v>
      </c>
      <c r="AG33" s="616"/>
    </row>
    <row r="34" spans="1:33" ht="15.75" customHeight="1">
      <c r="A34" s="633" t="s">
        <v>617</v>
      </c>
      <c r="B34" s="27" t="s">
        <v>20</v>
      </c>
      <c r="C34" s="659" t="s">
        <v>21</v>
      </c>
      <c r="D34" s="659"/>
      <c r="E34" s="27">
        <v>31.29</v>
      </c>
      <c r="F34" s="174">
        <v>4305</v>
      </c>
      <c r="G34" s="169">
        <f t="shared" si="23"/>
        <v>134703.44999999998</v>
      </c>
      <c r="H34" s="31" t="s">
        <v>40</v>
      </c>
      <c r="I34" s="172">
        <v>18</v>
      </c>
      <c r="J34" s="29">
        <v>2400</v>
      </c>
      <c r="K34" s="12">
        <f t="shared" si="1"/>
        <v>133.33333333333334</v>
      </c>
      <c r="L34" s="172">
        <v>18</v>
      </c>
      <c r="M34" s="13">
        <f t="shared" si="24"/>
        <v>2285.8407079645999</v>
      </c>
      <c r="N34" s="12">
        <f t="shared" si="3"/>
        <v>126.99115044247777</v>
      </c>
      <c r="O34" s="14">
        <f t="shared" si="4"/>
        <v>0</v>
      </c>
      <c r="P34" s="15">
        <f t="shared" si="5"/>
        <v>-6.3421828908555682</v>
      </c>
      <c r="Q34" s="170">
        <f t="shared" si="6"/>
        <v>0.95243362831858325</v>
      </c>
      <c r="R34" s="616"/>
      <c r="S34" s="32">
        <v>0.55972222222222223</v>
      </c>
      <c r="T34" s="32">
        <v>0.63819444444444451</v>
      </c>
      <c r="U34" s="169">
        <f t="shared" si="26"/>
        <v>56.999999999999957</v>
      </c>
      <c r="V34" s="173">
        <f t="shared" si="25"/>
        <v>113.00000000000009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-114.15929203540009</v>
      </c>
      <c r="AF34" s="170">
        <f t="shared" si="9"/>
        <v>0.95243362831858325</v>
      </c>
      <c r="AG34" s="616"/>
    </row>
    <row r="35" spans="1:33" ht="15.75" customHeight="1">
      <c r="A35" s="633" t="s">
        <v>180</v>
      </c>
      <c r="B35" s="27" t="s">
        <v>20</v>
      </c>
      <c r="C35" s="659" t="s">
        <v>22</v>
      </c>
      <c r="D35" s="659"/>
      <c r="E35" s="27">
        <v>26.37</v>
      </c>
      <c r="F35" s="174">
        <v>2893</v>
      </c>
      <c r="G35" s="169">
        <f t="shared" si="23"/>
        <v>76288.41</v>
      </c>
      <c r="H35" s="31" t="s">
        <v>40</v>
      </c>
      <c r="I35" s="172">
        <v>18</v>
      </c>
      <c r="J35" s="29">
        <v>2400</v>
      </c>
      <c r="K35" s="12">
        <f t="shared" si="1"/>
        <v>133.33333333333334</v>
      </c>
      <c r="L35" s="172">
        <v>18</v>
      </c>
      <c r="M35" s="13">
        <f t="shared" si="24"/>
        <v>2314.3999999999983</v>
      </c>
      <c r="N35" s="12">
        <f t="shared" si="3"/>
        <v>128.57777777777767</v>
      </c>
      <c r="O35" s="14">
        <f t="shared" si="4"/>
        <v>0</v>
      </c>
      <c r="P35" s="15">
        <f t="shared" si="5"/>
        <v>-4.7555555555556737</v>
      </c>
      <c r="Q35" s="170">
        <f t="shared" si="6"/>
        <v>0.96433333333333249</v>
      </c>
      <c r="R35" s="616"/>
      <c r="S35" s="32">
        <v>0.64236111111111116</v>
      </c>
      <c r="T35" s="32">
        <v>0.69444444444444453</v>
      </c>
      <c r="U35" s="169">
        <f t="shared" si="26"/>
        <v>5.9999999999999787</v>
      </c>
      <c r="V35" s="173">
        <f t="shared" si="25"/>
        <v>75.000000000000057</v>
      </c>
      <c r="W35" s="16"/>
      <c r="X35" s="16"/>
      <c r="Y35" s="16"/>
      <c r="Z35" s="16"/>
      <c r="AA35" s="612"/>
      <c r="AB35" s="612"/>
      <c r="AC35" s="18"/>
      <c r="AD35" s="18"/>
      <c r="AE35" s="14">
        <f t="shared" si="8"/>
        <v>-85.600000000001728</v>
      </c>
      <c r="AF35" s="170">
        <f t="shared" si="9"/>
        <v>0.9643333333333326</v>
      </c>
      <c r="AG35" s="616"/>
    </row>
    <row r="36" spans="1:33" ht="15.75" customHeight="1">
      <c r="A36" s="633" t="s">
        <v>618</v>
      </c>
      <c r="B36" s="27" t="s">
        <v>70</v>
      </c>
      <c r="C36" s="658"/>
      <c r="D36" s="658"/>
      <c r="E36" s="171"/>
      <c r="F36" s="174"/>
      <c r="G36" s="169"/>
      <c r="H36" s="174"/>
      <c r="I36" s="21">
        <v>17.428571428571427</v>
      </c>
      <c r="J36" s="29">
        <v>2400</v>
      </c>
      <c r="K36" s="12">
        <f t="shared" si="1"/>
        <v>137.70491803278691</v>
      </c>
      <c r="L36" s="21">
        <v>17.428571428571427</v>
      </c>
      <c r="M36" s="13">
        <f>AVERAGE(M29:M35)</f>
        <v>2289.5925437455294</v>
      </c>
      <c r="N36" s="12">
        <f t="shared" si="3"/>
        <v>131.37006398539924</v>
      </c>
      <c r="O36" s="14">
        <f t="shared" si="4"/>
        <v>0</v>
      </c>
      <c r="P36" s="15">
        <f t="shared" si="5"/>
        <v>-6.3348540473876653</v>
      </c>
      <c r="Q36" s="170">
        <f t="shared" si="6"/>
        <v>0.95399689322730385</v>
      </c>
      <c r="R36" s="616"/>
      <c r="S36" s="32"/>
      <c r="T36" s="32"/>
      <c r="U36" s="169"/>
      <c r="V36" s="173"/>
      <c r="W36" s="169"/>
      <c r="X36" s="169"/>
      <c r="Y36" s="22">
        <f>SUM(Y29:Y35)</f>
        <v>0</v>
      </c>
      <c r="Z36" s="22">
        <f>SUM(Z29:Z35)</f>
        <v>0</v>
      </c>
      <c r="AA36" s="611"/>
      <c r="AB36" s="611"/>
      <c r="AC36" s="22">
        <v>7</v>
      </c>
      <c r="AD36" s="22">
        <f>SUM(AD29:AD35)</f>
        <v>0</v>
      </c>
      <c r="AE36" s="14">
        <f t="shared" si="8"/>
        <v>-110.40745625447062</v>
      </c>
      <c r="AF36" s="170">
        <f t="shared" si="9"/>
        <v>0.95399689322730385</v>
      </c>
      <c r="AG36" s="616"/>
    </row>
    <row r="37" spans="1:33" ht="15.75" customHeight="1">
      <c r="A37" s="629" t="s">
        <v>181</v>
      </c>
      <c r="B37" s="27" t="s">
        <v>20</v>
      </c>
      <c r="C37" s="660" t="s">
        <v>58</v>
      </c>
      <c r="D37" s="660"/>
      <c r="E37" s="27">
        <v>26.18</v>
      </c>
      <c r="F37" s="174">
        <v>6697</v>
      </c>
      <c r="G37" s="169">
        <f t="shared" ref="G37:G42" si="27">E37*F37</f>
        <v>175327.46</v>
      </c>
      <c r="H37" s="31" t="s">
        <v>40</v>
      </c>
      <c r="I37" s="172">
        <v>20</v>
      </c>
      <c r="J37" s="29">
        <v>2400</v>
      </c>
      <c r="K37" s="12">
        <f t="shared" si="1"/>
        <v>120</v>
      </c>
      <c r="L37" s="172">
        <v>20</v>
      </c>
      <c r="M37" s="13">
        <f t="shared" ref="M37:M42" si="28">F37/V37*60</f>
        <v>2296.1142857142854</v>
      </c>
      <c r="N37" s="12">
        <f t="shared" si="3"/>
        <v>114.80571428571427</v>
      </c>
      <c r="O37" s="14">
        <f t="shared" si="4"/>
        <v>0</v>
      </c>
      <c r="P37" s="15">
        <f t="shared" si="5"/>
        <v>-5.1942857142857264</v>
      </c>
      <c r="Q37" s="170">
        <f t="shared" si="6"/>
        <v>0.95671428571428563</v>
      </c>
      <c r="R37" s="616">
        <f>Q43</f>
        <v>0.95523783453636713</v>
      </c>
      <c r="S37" s="32">
        <v>8.3333333333333329E-2</v>
      </c>
      <c r="T37" s="32">
        <v>0.2048611111111111</v>
      </c>
      <c r="U37" s="169"/>
      <c r="V37" s="173">
        <f t="shared" ref="V37:V42" si="29">(T37-S37)*24*60</f>
        <v>175</v>
      </c>
      <c r="W37" s="20">
        <f>T37</f>
        <v>0.2048611111111111</v>
      </c>
      <c r="X37" s="20">
        <f>S38</f>
        <v>0.22291666666666665</v>
      </c>
      <c r="Y37" s="20"/>
      <c r="Z37" s="20"/>
      <c r="AA37" s="612"/>
      <c r="AB37" s="612"/>
      <c r="AC37" s="18">
        <v>6</v>
      </c>
      <c r="AD37" s="18"/>
      <c r="AE37" s="14">
        <f t="shared" si="8"/>
        <v>-103.88571428571458</v>
      </c>
      <c r="AF37" s="170">
        <f t="shared" si="9"/>
        <v>0.95671428571428563</v>
      </c>
      <c r="AG37" s="616">
        <f>AF43</f>
        <v>0.95523783453636713</v>
      </c>
    </row>
    <row r="38" spans="1:33" ht="15.75" customHeight="1">
      <c r="A38" s="629" t="s">
        <v>181</v>
      </c>
      <c r="B38" s="27" t="s">
        <v>20</v>
      </c>
      <c r="C38" s="660" t="s">
        <v>25</v>
      </c>
      <c r="D38" s="660"/>
      <c r="E38" s="27">
        <v>24.43</v>
      </c>
      <c r="F38" s="174">
        <v>4100</v>
      </c>
      <c r="G38" s="169">
        <f t="shared" si="27"/>
        <v>100163</v>
      </c>
      <c r="H38" s="31">
        <v>2</v>
      </c>
      <c r="I38" s="172">
        <v>14</v>
      </c>
      <c r="J38" s="29">
        <v>2400</v>
      </c>
      <c r="K38" s="12">
        <f t="shared" si="1"/>
        <v>171.42857142857142</v>
      </c>
      <c r="L38" s="172">
        <v>14</v>
      </c>
      <c r="M38" s="13">
        <f t="shared" si="28"/>
        <v>2299.0654205607475</v>
      </c>
      <c r="N38" s="12">
        <f t="shared" si="3"/>
        <v>164.21895861148195</v>
      </c>
      <c r="O38" s="14">
        <f t="shared" si="4"/>
        <v>0</v>
      </c>
      <c r="P38" s="15">
        <f t="shared" si="5"/>
        <v>-7.2096128170894644</v>
      </c>
      <c r="Q38" s="170">
        <f t="shared" si="6"/>
        <v>0.9579439252336448</v>
      </c>
      <c r="R38" s="616"/>
      <c r="S38" s="32">
        <v>0.22291666666666665</v>
      </c>
      <c r="T38" s="32">
        <v>0.29722222222222222</v>
      </c>
      <c r="U38" s="169">
        <f t="shared" ref="U38:U42" si="30">(S38-T37)*24*60</f>
        <v>25.999999999999986</v>
      </c>
      <c r="V38" s="173">
        <f t="shared" si="29"/>
        <v>107.00000000000001</v>
      </c>
      <c r="W38" s="169"/>
      <c r="X38" s="169"/>
      <c r="Y38" s="169"/>
      <c r="Z38" s="169"/>
      <c r="AA38" s="612"/>
      <c r="AB38" s="612"/>
      <c r="AC38" s="18"/>
      <c r="AD38" s="18"/>
      <c r="AE38" s="14">
        <f t="shared" si="8"/>
        <v>-100.9345794392525</v>
      </c>
      <c r="AF38" s="170">
        <f t="shared" si="9"/>
        <v>0.9579439252336448</v>
      </c>
      <c r="AG38" s="616"/>
    </row>
    <row r="39" spans="1:33">
      <c r="A39" s="630" t="s">
        <v>181</v>
      </c>
      <c r="B39" s="27" t="s">
        <v>20</v>
      </c>
      <c r="C39" s="660" t="s">
        <v>83</v>
      </c>
      <c r="D39" s="660"/>
      <c r="E39" s="27">
        <v>25.98</v>
      </c>
      <c r="F39" s="174">
        <v>5751</v>
      </c>
      <c r="G39" s="169">
        <f t="shared" si="27"/>
        <v>149410.98000000001</v>
      </c>
      <c r="H39" s="31" t="s">
        <v>40</v>
      </c>
      <c r="I39" s="172">
        <v>20</v>
      </c>
      <c r="J39" s="29">
        <v>2400</v>
      </c>
      <c r="K39" s="12">
        <f t="shared" si="1"/>
        <v>120</v>
      </c>
      <c r="L39" s="172">
        <v>20</v>
      </c>
      <c r="M39" s="13">
        <f t="shared" si="28"/>
        <v>2285.1655629139068</v>
      </c>
      <c r="N39" s="12">
        <f t="shared" si="3"/>
        <v>114.25827814569534</v>
      </c>
      <c r="O39" s="14">
        <f t="shared" si="4"/>
        <v>0</v>
      </c>
      <c r="P39" s="15">
        <f t="shared" si="5"/>
        <v>-5.7417218543046573</v>
      </c>
      <c r="Q39" s="170">
        <f t="shared" si="6"/>
        <v>0.95215231788079457</v>
      </c>
      <c r="R39" s="616"/>
      <c r="S39" s="32">
        <v>0.30069444444444443</v>
      </c>
      <c r="T39" s="32">
        <v>0.40555555555555556</v>
      </c>
      <c r="U39" s="169">
        <f t="shared" si="30"/>
        <v>4.9999999999999822</v>
      </c>
      <c r="V39" s="173">
        <f t="shared" si="29"/>
        <v>151.00000000000003</v>
      </c>
      <c r="W39" s="169"/>
      <c r="X39" s="169"/>
      <c r="Y39" s="169"/>
      <c r="Z39" s="169"/>
      <c r="AA39" s="612"/>
      <c r="AB39" s="612"/>
      <c r="AC39" s="18"/>
      <c r="AD39" s="18"/>
      <c r="AE39" s="14">
        <f t="shared" si="8"/>
        <v>-114.8344370860932</v>
      </c>
      <c r="AF39" s="170">
        <f t="shared" si="9"/>
        <v>0.95215231788079446</v>
      </c>
      <c r="AG39" s="616"/>
    </row>
    <row r="40" spans="1:33">
      <c r="A40" s="630" t="s">
        <v>619</v>
      </c>
      <c r="B40" s="27" t="s">
        <v>20</v>
      </c>
      <c r="C40" s="660" t="s">
        <v>26</v>
      </c>
      <c r="D40" s="660"/>
      <c r="E40" s="27">
        <v>34.1</v>
      </c>
      <c r="F40" s="174">
        <v>3800</v>
      </c>
      <c r="G40" s="169">
        <f t="shared" si="27"/>
        <v>129580</v>
      </c>
      <c r="H40" s="31">
        <v>2</v>
      </c>
      <c r="I40" s="172">
        <v>17</v>
      </c>
      <c r="J40" s="29">
        <v>1600</v>
      </c>
      <c r="K40" s="12">
        <f t="shared" si="1"/>
        <v>94.117647058823536</v>
      </c>
      <c r="L40" s="172">
        <v>17</v>
      </c>
      <c r="M40" s="13">
        <f t="shared" si="28"/>
        <v>1530.2013422818798</v>
      </c>
      <c r="N40" s="12">
        <f t="shared" si="3"/>
        <v>90.011843663639979</v>
      </c>
      <c r="O40" s="14">
        <f t="shared" si="4"/>
        <v>0</v>
      </c>
      <c r="P40" s="15">
        <f t="shared" si="5"/>
        <v>-4.1058033951835569</v>
      </c>
      <c r="Q40" s="170">
        <f t="shared" si="6"/>
        <v>0.95637583892617473</v>
      </c>
      <c r="R40" s="616"/>
      <c r="S40" s="32">
        <v>0.40972222222222221</v>
      </c>
      <c r="T40" s="32">
        <v>0.5131944444444444</v>
      </c>
      <c r="U40" s="169">
        <f t="shared" si="30"/>
        <v>5.9999999999999787</v>
      </c>
      <c r="V40" s="173">
        <f t="shared" si="29"/>
        <v>148.99999999999994</v>
      </c>
      <c r="W40" s="20">
        <f>T40</f>
        <v>0.5131944444444444</v>
      </c>
      <c r="X40" s="20">
        <f>S41</f>
        <v>0.55416666666666659</v>
      </c>
      <c r="Y40" s="16"/>
      <c r="Z40" s="16"/>
      <c r="AA40" s="612"/>
      <c r="AB40" s="612"/>
      <c r="AC40" s="18"/>
      <c r="AD40" s="18"/>
      <c r="AE40" s="14">
        <f t="shared" si="8"/>
        <v>-69.798657718120239</v>
      </c>
      <c r="AF40" s="170">
        <f t="shared" si="9"/>
        <v>0.95637583892617484</v>
      </c>
      <c r="AG40" s="616"/>
    </row>
    <row r="41" spans="1:33">
      <c r="A41" s="630" t="s">
        <v>181</v>
      </c>
      <c r="B41" s="27" t="s">
        <v>20</v>
      </c>
      <c r="C41" s="660" t="s">
        <v>25</v>
      </c>
      <c r="D41" s="660"/>
      <c r="E41" s="27">
        <v>24.43</v>
      </c>
      <c r="F41" s="174">
        <v>3392</v>
      </c>
      <c r="G41" s="169">
        <f t="shared" si="27"/>
        <v>82866.559999999998</v>
      </c>
      <c r="H41" s="31" t="s">
        <v>40</v>
      </c>
      <c r="I41" s="172">
        <v>14</v>
      </c>
      <c r="J41" s="29">
        <v>2400</v>
      </c>
      <c r="K41" s="12">
        <f t="shared" si="1"/>
        <v>171.42857142857142</v>
      </c>
      <c r="L41" s="172">
        <v>14</v>
      </c>
      <c r="M41" s="13">
        <f t="shared" si="28"/>
        <v>2286.7415730337079</v>
      </c>
      <c r="N41" s="12">
        <f t="shared" si="3"/>
        <v>163.33868378812198</v>
      </c>
      <c r="O41" s="14">
        <f t="shared" si="4"/>
        <v>0</v>
      </c>
      <c r="P41" s="15">
        <f t="shared" si="5"/>
        <v>-8.0898876404494331</v>
      </c>
      <c r="Q41" s="170">
        <f t="shared" si="6"/>
        <v>0.95280898876404496</v>
      </c>
      <c r="R41" s="616"/>
      <c r="S41" s="32">
        <v>0.55416666666666659</v>
      </c>
      <c r="T41" s="32">
        <v>0.61597222222222214</v>
      </c>
      <c r="U41" s="169">
        <f t="shared" si="30"/>
        <v>58.99999999999995</v>
      </c>
      <c r="V41" s="173">
        <f t="shared" si="29"/>
        <v>89</v>
      </c>
      <c r="W41" s="16"/>
      <c r="X41" s="16"/>
      <c r="Y41" s="16"/>
      <c r="Z41" s="16"/>
      <c r="AA41" s="612"/>
      <c r="AB41" s="612"/>
      <c r="AC41" s="18"/>
      <c r="AD41" s="18"/>
      <c r="AE41" s="14">
        <f t="shared" si="8"/>
        <v>-113.25842696629206</v>
      </c>
      <c r="AF41" s="170">
        <f t="shared" si="9"/>
        <v>0.95280898876404496</v>
      </c>
      <c r="AG41" s="616"/>
    </row>
    <row r="42" spans="1:33">
      <c r="A42" s="630" t="s">
        <v>619</v>
      </c>
      <c r="B42" s="27" t="s">
        <v>20</v>
      </c>
      <c r="C42" s="660" t="s">
        <v>26</v>
      </c>
      <c r="D42" s="660"/>
      <c r="E42" s="27">
        <v>34.1</v>
      </c>
      <c r="F42" s="174">
        <v>3136</v>
      </c>
      <c r="G42" s="169">
        <f t="shared" si="27"/>
        <v>106937.60000000001</v>
      </c>
      <c r="H42" s="31" t="s">
        <v>40</v>
      </c>
      <c r="I42" s="172">
        <v>17</v>
      </c>
      <c r="J42" s="29">
        <v>1600</v>
      </c>
      <c r="K42" s="12">
        <f t="shared" si="1"/>
        <v>94.117647058823536</v>
      </c>
      <c r="L42" s="172">
        <v>17</v>
      </c>
      <c r="M42" s="13">
        <f t="shared" si="28"/>
        <v>1529.7560975609749</v>
      </c>
      <c r="N42" s="12">
        <f t="shared" si="3"/>
        <v>89.985652797704404</v>
      </c>
      <c r="O42" s="14">
        <f t="shared" si="4"/>
        <v>0</v>
      </c>
      <c r="P42" s="15">
        <f t="shared" si="5"/>
        <v>-4.1319942611191323</v>
      </c>
      <c r="Q42" s="170">
        <f t="shared" si="6"/>
        <v>0.95609756097560927</v>
      </c>
      <c r="R42" s="616"/>
      <c r="S42" s="32">
        <v>0.62083333333333324</v>
      </c>
      <c r="T42" s="32">
        <v>0.70624999999999993</v>
      </c>
      <c r="U42" s="169">
        <f t="shared" si="30"/>
        <v>6.9999999999999751</v>
      </c>
      <c r="V42" s="173">
        <f t="shared" si="29"/>
        <v>123.00000000000004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-70.243902439025078</v>
      </c>
      <c r="AF42" s="170">
        <f t="shared" si="9"/>
        <v>0.95609756097560927</v>
      </c>
      <c r="AG42" s="616"/>
    </row>
    <row r="43" spans="1:33">
      <c r="A43" s="630" t="s">
        <v>620</v>
      </c>
      <c r="B43" s="28" t="s">
        <v>70</v>
      </c>
      <c r="C43" s="658"/>
      <c r="D43" s="658"/>
      <c r="E43" s="171"/>
      <c r="F43" s="28"/>
      <c r="G43" s="12"/>
      <c r="H43" s="174"/>
      <c r="I43" s="21">
        <v>17</v>
      </c>
      <c r="J43" s="29">
        <v>2133.3333333333335</v>
      </c>
      <c r="K43" s="12">
        <f t="shared" si="1"/>
        <v>125.49019607843138</v>
      </c>
      <c r="L43" s="21">
        <v>17</v>
      </c>
      <c r="M43" s="13">
        <f>AVERAGE(M37:M42)</f>
        <v>2037.8407136775834</v>
      </c>
      <c r="N43" s="12">
        <f t="shared" si="3"/>
        <v>119.8729831575049</v>
      </c>
      <c r="O43" s="14">
        <f t="shared" si="4"/>
        <v>0</v>
      </c>
      <c r="P43" s="15">
        <f t="shared" si="5"/>
        <v>-5.6172129209264767</v>
      </c>
      <c r="Q43" s="170">
        <f t="shared" si="6"/>
        <v>0.95523783453636713</v>
      </c>
      <c r="R43" s="616"/>
      <c r="S43" s="32"/>
      <c r="T43" s="32"/>
      <c r="U43" s="12"/>
      <c r="V43" s="173"/>
      <c r="W43" s="12"/>
      <c r="X43" s="12"/>
      <c r="Y43" s="22">
        <f>SUM(Y37:Y42)</f>
        <v>0</v>
      </c>
      <c r="Z43" s="22">
        <f>SUM(Z37:Z42)</f>
        <v>0</v>
      </c>
      <c r="AA43" s="611"/>
      <c r="AB43" s="611"/>
      <c r="AC43" s="22">
        <v>6</v>
      </c>
      <c r="AD43" s="22">
        <f>SUM(AD37:AD42)</f>
        <v>0</v>
      </c>
      <c r="AE43" s="14">
        <f t="shared" si="8"/>
        <v>-95.492619655750104</v>
      </c>
      <c r="AF43" s="170">
        <f t="shared" si="9"/>
        <v>0.95523783453636713</v>
      </c>
      <c r="AG43" s="616"/>
    </row>
    <row r="44" spans="1:33" ht="15.75" customHeight="1">
      <c r="A44" s="623" t="s">
        <v>75</v>
      </c>
      <c r="B44" s="27" t="s">
        <v>27</v>
      </c>
      <c r="C44" s="605" t="s">
        <v>33</v>
      </c>
      <c r="D44" s="606"/>
      <c r="E44" s="27">
        <v>34.36</v>
      </c>
      <c r="F44" s="174">
        <v>2424</v>
      </c>
      <c r="G44" s="169">
        <f t="shared" ref="G44:G46" si="31">E44*F44</f>
        <v>83288.639999999999</v>
      </c>
      <c r="H44" s="31" t="s">
        <v>40</v>
      </c>
      <c r="I44" s="172">
        <v>10</v>
      </c>
      <c r="J44" s="29">
        <v>3000</v>
      </c>
      <c r="K44" s="12">
        <f t="shared" si="1"/>
        <v>300</v>
      </c>
      <c r="L44" s="172">
        <v>10</v>
      </c>
      <c r="M44" s="13">
        <f t="shared" ref="M44:M46" si="32">F44/V44*60</f>
        <v>2908.7999999999988</v>
      </c>
      <c r="N44" s="13">
        <f t="shared" si="3"/>
        <v>290.87999999999988</v>
      </c>
      <c r="O44" s="14">
        <f t="shared" si="4"/>
        <v>0</v>
      </c>
      <c r="P44" s="15">
        <f t="shared" si="5"/>
        <v>-9.1200000000001182</v>
      </c>
      <c r="Q44" s="170">
        <f t="shared" si="6"/>
        <v>0.96959999999999957</v>
      </c>
      <c r="R44" s="626">
        <f>Q47</f>
        <v>0.95803170254403125</v>
      </c>
      <c r="S44" s="32">
        <v>0.20833333333333334</v>
      </c>
      <c r="T44" s="32">
        <v>0.24305555555555558</v>
      </c>
      <c r="U44" s="20"/>
      <c r="V44" s="173">
        <f t="shared" ref="V44:V46" si="33">(T44-S44)*24*60</f>
        <v>50.000000000000021</v>
      </c>
      <c r="W44" s="16"/>
      <c r="X44" s="16"/>
      <c r="Y44" s="19"/>
      <c r="Z44" s="19"/>
      <c r="AA44" s="607"/>
      <c r="AB44" s="608"/>
      <c r="AC44" s="18">
        <v>3</v>
      </c>
      <c r="AD44" s="18"/>
      <c r="AE44" s="14">
        <f t="shared" si="8"/>
        <v>-91.200000000001182</v>
      </c>
      <c r="AF44" s="170">
        <f t="shared" si="9"/>
        <v>0.96959999999999957</v>
      </c>
      <c r="AG44" s="626">
        <f>AF47</f>
        <v>0.95803170254403125</v>
      </c>
    </row>
    <row r="45" spans="1:33" ht="15.75" customHeight="1">
      <c r="A45" s="624" t="s">
        <v>621</v>
      </c>
      <c r="B45" s="27" t="s">
        <v>27</v>
      </c>
      <c r="C45" s="605" t="s">
        <v>29</v>
      </c>
      <c r="D45" s="606"/>
      <c r="E45" s="27">
        <v>21.13</v>
      </c>
      <c r="F45" s="174">
        <v>6669</v>
      </c>
      <c r="G45" s="169">
        <f t="shared" si="31"/>
        <v>140915.97</v>
      </c>
      <c r="H45" s="31" t="s">
        <v>40</v>
      </c>
      <c r="I45" s="172">
        <v>10</v>
      </c>
      <c r="J45" s="29">
        <v>3000</v>
      </c>
      <c r="K45" s="12">
        <f t="shared" si="1"/>
        <v>300</v>
      </c>
      <c r="L45" s="172">
        <v>10</v>
      </c>
      <c r="M45" s="13">
        <f t="shared" si="32"/>
        <v>2858.1428571428569</v>
      </c>
      <c r="N45" s="13">
        <f t="shared" si="3"/>
        <v>285.81428571428569</v>
      </c>
      <c r="O45" s="14">
        <f t="shared" si="4"/>
        <v>0</v>
      </c>
      <c r="P45" s="15">
        <f t="shared" si="5"/>
        <v>-14.185714285714312</v>
      </c>
      <c r="Q45" s="170">
        <f t="shared" si="6"/>
        <v>0.95271428571428562</v>
      </c>
      <c r="R45" s="627"/>
      <c r="S45" s="32">
        <v>0.24722222222222226</v>
      </c>
      <c r="T45" s="32">
        <v>0.3444444444444445</v>
      </c>
      <c r="U45" s="169">
        <f t="shared" ref="U45:U46" si="34">(S45-T44)*24*60</f>
        <v>6.0000000000000187</v>
      </c>
      <c r="V45" s="173">
        <f t="shared" si="33"/>
        <v>140.00000000000003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-141.85714285714312</v>
      </c>
      <c r="AF45" s="170">
        <f t="shared" si="9"/>
        <v>0.95271428571428562</v>
      </c>
      <c r="AG45" s="627"/>
    </row>
    <row r="46" spans="1:33" ht="15.75" customHeight="1">
      <c r="A46" s="624" t="s">
        <v>75</v>
      </c>
      <c r="B46" s="27" t="s">
        <v>27</v>
      </c>
      <c r="C46" s="605" t="s">
        <v>30</v>
      </c>
      <c r="D46" s="606"/>
      <c r="E46" s="27">
        <v>27.17</v>
      </c>
      <c r="F46" s="174">
        <v>6948</v>
      </c>
      <c r="G46" s="169">
        <f t="shared" si="31"/>
        <v>188777.16</v>
      </c>
      <c r="H46" s="31" t="s">
        <v>40</v>
      </c>
      <c r="I46" s="172">
        <v>10</v>
      </c>
      <c r="J46" s="29">
        <v>3000</v>
      </c>
      <c r="K46" s="12">
        <f t="shared" si="1"/>
        <v>300</v>
      </c>
      <c r="L46" s="172">
        <v>10</v>
      </c>
      <c r="M46" s="13">
        <f t="shared" si="32"/>
        <v>2855.3424657534251</v>
      </c>
      <c r="N46" s="13">
        <f t="shared" si="3"/>
        <v>285.53424657534254</v>
      </c>
      <c r="O46" s="14">
        <f t="shared" si="4"/>
        <v>0</v>
      </c>
      <c r="P46" s="15">
        <f t="shared" si="5"/>
        <v>-14.465753424657464</v>
      </c>
      <c r="Q46" s="170">
        <f t="shared" si="6"/>
        <v>0.95178082191780844</v>
      </c>
      <c r="R46" s="627"/>
      <c r="S46" s="32">
        <v>0.34930555555555559</v>
      </c>
      <c r="T46" s="32">
        <v>0.45069444444444445</v>
      </c>
      <c r="U46" s="169">
        <f t="shared" si="34"/>
        <v>6.9999999999999751</v>
      </c>
      <c r="V46" s="173">
        <f t="shared" si="33"/>
        <v>145.99999999999997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-144.65753424657487</v>
      </c>
      <c r="AF46" s="170">
        <f t="shared" si="9"/>
        <v>0.95178082191780833</v>
      </c>
      <c r="AG46" s="627"/>
    </row>
    <row r="47" spans="1:33" ht="15.75" customHeight="1">
      <c r="A47" s="625" t="s">
        <v>75</v>
      </c>
      <c r="B47" s="27" t="s">
        <v>70</v>
      </c>
      <c r="C47" s="609"/>
      <c r="D47" s="610"/>
      <c r="E47" s="167"/>
      <c r="F47" s="174"/>
      <c r="G47" s="169" t="s">
        <v>622</v>
      </c>
      <c r="H47" s="174"/>
      <c r="I47" s="21">
        <v>10</v>
      </c>
      <c r="J47" s="29">
        <v>3000</v>
      </c>
      <c r="K47" s="12">
        <f t="shared" si="1"/>
        <v>300</v>
      </c>
      <c r="L47" s="21">
        <v>10</v>
      </c>
      <c r="M47" s="13">
        <f>AVERAGE(M44:M46)</f>
        <v>2874.0951076320939</v>
      </c>
      <c r="N47" s="12">
        <f t="shared" si="3"/>
        <v>287.40951076320937</v>
      </c>
      <c r="O47" s="14">
        <f t="shared" si="4"/>
        <v>0</v>
      </c>
      <c r="P47" s="15">
        <f t="shared" si="5"/>
        <v>-12.590489236790631</v>
      </c>
      <c r="Q47" s="170">
        <f t="shared" si="6"/>
        <v>0.95803170254403125</v>
      </c>
      <c r="R47" s="628"/>
      <c r="S47" s="32"/>
      <c r="T47" s="32"/>
      <c r="U47" s="169"/>
      <c r="V47" s="173"/>
      <c r="W47" s="16"/>
      <c r="X47" s="16"/>
      <c r="Y47" s="22">
        <f>SUM(Y44:Y46)</f>
        <v>0</v>
      </c>
      <c r="Z47" s="22">
        <f>SUM(Z44:Z46)</f>
        <v>0</v>
      </c>
      <c r="AA47" s="619"/>
      <c r="AB47" s="620"/>
      <c r="AC47" s="22">
        <v>3</v>
      </c>
      <c r="AD47" s="22">
        <f>SUM(AD44:AD46)</f>
        <v>0</v>
      </c>
      <c r="AE47" s="14">
        <f t="shared" si="8"/>
        <v>-125.90489236790609</v>
      </c>
      <c r="AF47" s="170">
        <f t="shared" si="9"/>
        <v>0.95803170254403125</v>
      </c>
      <c r="AG47" s="628"/>
    </row>
    <row r="48" spans="1:33" ht="15.75" customHeight="1">
      <c r="A48" s="621" t="s">
        <v>71</v>
      </c>
      <c r="B48" s="27" t="s">
        <v>5</v>
      </c>
      <c r="C48" s="660" t="s">
        <v>15</v>
      </c>
      <c r="D48" s="660"/>
      <c r="E48" s="27">
        <v>59.04</v>
      </c>
      <c r="F48" s="30">
        <v>2483</v>
      </c>
      <c r="G48" s="169">
        <f t="shared" ref="G48:G54" si="35">E48*F48</f>
        <v>146596.32</v>
      </c>
      <c r="H48" s="31" t="s">
        <v>40</v>
      </c>
      <c r="I48" s="172">
        <v>19</v>
      </c>
      <c r="J48" s="29">
        <v>2000</v>
      </c>
      <c r="K48" s="12">
        <f t="shared" si="1"/>
        <v>105.26315789473684</v>
      </c>
      <c r="L48" s="172">
        <v>19</v>
      </c>
      <c r="M48" s="13">
        <f t="shared" ref="M48" si="36">F48/V48*60</f>
        <v>1910</v>
      </c>
      <c r="N48" s="13">
        <f t="shared" si="3"/>
        <v>100.52631578947368</v>
      </c>
      <c r="O48" s="14">
        <f t="shared" si="4"/>
        <v>0</v>
      </c>
      <c r="P48" s="15">
        <f t="shared" si="5"/>
        <v>-4.7368421052631504</v>
      </c>
      <c r="Q48" s="170">
        <f t="shared" si="6"/>
        <v>0.95500000000000007</v>
      </c>
      <c r="R48" s="616">
        <f>Q55</f>
        <v>0.95773676204533942</v>
      </c>
      <c r="S48" s="32">
        <v>0.20833333333333334</v>
      </c>
      <c r="T48" s="32">
        <v>0.26250000000000001</v>
      </c>
      <c r="U48" s="20"/>
      <c r="V48" s="173">
        <f t="shared" ref="V48:V54" si="37">(T48-S48)*24*60</f>
        <v>78</v>
      </c>
      <c r="W48" s="16"/>
      <c r="X48" s="16"/>
      <c r="Y48" s="20"/>
      <c r="Z48" s="20"/>
      <c r="AA48" s="612"/>
      <c r="AB48" s="612"/>
      <c r="AC48" s="18">
        <v>7</v>
      </c>
      <c r="AD48" s="18"/>
      <c r="AE48" s="14">
        <f t="shared" si="8"/>
        <v>-90</v>
      </c>
      <c r="AF48" s="170">
        <f t="shared" si="9"/>
        <v>0.95499999999999996</v>
      </c>
      <c r="AG48" s="616">
        <f>AF55</f>
        <v>0.95773676204533931</v>
      </c>
    </row>
    <row r="49" spans="1:33" ht="15.75" customHeight="1">
      <c r="A49" s="621" t="s">
        <v>71</v>
      </c>
      <c r="B49" s="27" t="s">
        <v>5</v>
      </c>
      <c r="C49" s="660" t="s">
        <v>31</v>
      </c>
      <c r="D49" s="660"/>
      <c r="E49" s="27">
        <v>56.43</v>
      </c>
      <c r="F49" s="30">
        <v>1560</v>
      </c>
      <c r="G49" s="169">
        <f t="shared" si="35"/>
        <v>88030.8</v>
      </c>
      <c r="H49" s="31" t="s">
        <v>40</v>
      </c>
      <c r="I49" s="172">
        <v>22</v>
      </c>
      <c r="J49" s="29">
        <v>2000</v>
      </c>
      <c r="K49" s="12">
        <f t="shared" si="1"/>
        <v>90.909090909090907</v>
      </c>
      <c r="L49" s="172">
        <v>22</v>
      </c>
      <c r="M49" s="13">
        <f>F49/V49*60</f>
        <v>1910.2040816326535</v>
      </c>
      <c r="N49" s="13">
        <f t="shared" si="3"/>
        <v>86.827458256029701</v>
      </c>
      <c r="O49" s="14">
        <f t="shared" si="4"/>
        <v>0</v>
      </c>
      <c r="P49" s="15">
        <f t="shared" si="5"/>
        <v>-4.0816326530612059</v>
      </c>
      <c r="Q49" s="170">
        <f t="shared" si="6"/>
        <v>0.95510204081632677</v>
      </c>
      <c r="R49" s="616"/>
      <c r="S49" s="32">
        <v>0.26805555555555555</v>
      </c>
      <c r="T49" s="32">
        <v>0.30208333333333331</v>
      </c>
      <c r="U49" s="169">
        <f t="shared" ref="U49:U54" si="38">IF(S49=TIME(17,0,0),"",(S49-T48)*24*60)</f>
        <v>7.9999999999999716</v>
      </c>
      <c r="V49" s="173">
        <f t="shared" si="37"/>
        <v>48.999999999999986</v>
      </c>
      <c r="W49" s="16"/>
      <c r="X49" s="16"/>
      <c r="Y49" s="16"/>
      <c r="Z49" s="16"/>
      <c r="AA49" s="612"/>
      <c r="AB49" s="612"/>
      <c r="AC49" s="18"/>
      <c r="AD49" s="18"/>
      <c r="AE49" s="14">
        <f t="shared" si="8"/>
        <v>-89.79591836734653</v>
      </c>
      <c r="AF49" s="170">
        <f t="shared" si="9"/>
        <v>0.95510204081632677</v>
      </c>
      <c r="AG49" s="616"/>
    </row>
    <row r="50" spans="1:33" ht="15.75" customHeight="1">
      <c r="A50" s="621" t="s">
        <v>71</v>
      </c>
      <c r="B50" s="27" t="s">
        <v>8</v>
      </c>
      <c r="C50" s="605" t="s">
        <v>61</v>
      </c>
      <c r="D50" s="606"/>
      <c r="E50" s="27">
        <v>46</v>
      </c>
      <c r="F50" s="30">
        <v>2816</v>
      </c>
      <c r="G50" s="169">
        <f t="shared" si="35"/>
        <v>129536</v>
      </c>
      <c r="H50" s="31" t="s">
        <v>40</v>
      </c>
      <c r="I50" s="172">
        <v>16</v>
      </c>
      <c r="J50" s="29">
        <v>2000</v>
      </c>
      <c r="K50" s="12">
        <f t="shared" si="1"/>
        <v>125</v>
      </c>
      <c r="L50" s="172">
        <v>16</v>
      </c>
      <c r="M50" s="13">
        <f t="shared" ref="M50:M54" si="39">F50/V50*60</f>
        <v>1920</v>
      </c>
      <c r="N50" s="13">
        <f t="shared" si="3"/>
        <v>120</v>
      </c>
      <c r="O50" s="14">
        <f t="shared" si="4"/>
        <v>0</v>
      </c>
      <c r="P50" s="15">
        <f t="shared" si="5"/>
        <v>-5</v>
      </c>
      <c r="Q50" s="170">
        <f t="shared" si="6"/>
        <v>0.96</v>
      </c>
      <c r="R50" s="616"/>
      <c r="S50" s="32">
        <v>0.30624999999999997</v>
      </c>
      <c r="T50" s="32">
        <v>0.36736111111111108</v>
      </c>
      <c r="U50" s="169">
        <f t="shared" si="38"/>
        <v>5.9999999999999787</v>
      </c>
      <c r="V50" s="173">
        <f t="shared" si="37"/>
        <v>88</v>
      </c>
      <c r="W50" s="16"/>
      <c r="X50" s="16"/>
      <c r="Y50" s="19"/>
      <c r="Z50" s="19"/>
      <c r="AA50" s="612"/>
      <c r="AB50" s="612"/>
      <c r="AC50" s="18"/>
      <c r="AD50" s="18"/>
      <c r="AE50" s="14">
        <f t="shared" si="8"/>
        <v>-80</v>
      </c>
      <c r="AF50" s="170">
        <f t="shared" si="9"/>
        <v>0.96</v>
      </c>
      <c r="AG50" s="616"/>
    </row>
    <row r="51" spans="1:33" ht="15.75" customHeight="1">
      <c r="A51" s="621" t="s">
        <v>71</v>
      </c>
      <c r="B51" s="27" t="s">
        <v>8</v>
      </c>
      <c r="C51" s="163" t="s">
        <v>79</v>
      </c>
      <c r="D51" s="164"/>
      <c r="E51" s="27">
        <v>46</v>
      </c>
      <c r="F51" s="30">
        <v>3384</v>
      </c>
      <c r="G51" s="169">
        <f t="shared" si="35"/>
        <v>155664</v>
      </c>
      <c r="H51" s="31" t="s">
        <v>40</v>
      </c>
      <c r="I51" s="172">
        <v>17</v>
      </c>
      <c r="J51" s="29">
        <v>2000</v>
      </c>
      <c r="K51" s="12">
        <f t="shared" si="1"/>
        <v>117.64705882352941</v>
      </c>
      <c r="L51" s="172">
        <v>17</v>
      </c>
      <c r="M51" s="13">
        <f t="shared" si="39"/>
        <v>1915.4716981132071</v>
      </c>
      <c r="N51" s="13">
        <f t="shared" si="3"/>
        <v>112.67480577136513</v>
      </c>
      <c r="O51" s="14">
        <f t="shared" si="4"/>
        <v>0</v>
      </c>
      <c r="P51" s="15">
        <f t="shared" si="5"/>
        <v>-4.9722530521642767</v>
      </c>
      <c r="Q51" s="170">
        <f t="shared" si="6"/>
        <v>0.95773584905660369</v>
      </c>
      <c r="R51" s="616"/>
      <c r="S51" s="32">
        <v>0.37222222222222218</v>
      </c>
      <c r="T51" s="32">
        <v>0.4458333333333333</v>
      </c>
      <c r="U51" s="169">
        <f t="shared" si="38"/>
        <v>6.9999999999999751</v>
      </c>
      <c r="V51" s="173">
        <f t="shared" si="37"/>
        <v>106.00000000000003</v>
      </c>
      <c r="W51" s="16"/>
      <c r="X51" s="16"/>
      <c r="Y51" s="19"/>
      <c r="Z51" s="19"/>
      <c r="AA51" s="612"/>
      <c r="AB51" s="612"/>
      <c r="AC51" s="18"/>
      <c r="AD51" s="18"/>
      <c r="AE51" s="14">
        <f t="shared" si="8"/>
        <v>-84.52830188679286</v>
      </c>
      <c r="AF51" s="170">
        <f t="shared" si="9"/>
        <v>0.95773584905660358</v>
      </c>
      <c r="AG51" s="616"/>
    </row>
    <row r="52" spans="1:33" ht="15.75" customHeight="1">
      <c r="A52" s="621" t="s">
        <v>623</v>
      </c>
      <c r="B52" s="27" t="s">
        <v>5</v>
      </c>
      <c r="C52" s="163" t="s">
        <v>32</v>
      </c>
      <c r="D52" s="164"/>
      <c r="E52" s="27">
        <v>55.56</v>
      </c>
      <c r="F52" s="30">
        <v>2568</v>
      </c>
      <c r="G52" s="169">
        <f t="shared" si="35"/>
        <v>142678.08000000002</v>
      </c>
      <c r="H52" s="31" t="s">
        <v>40</v>
      </c>
      <c r="I52" s="172">
        <v>17</v>
      </c>
      <c r="J52" s="29">
        <v>2000</v>
      </c>
      <c r="K52" s="12">
        <f t="shared" si="1"/>
        <v>117.64705882352941</v>
      </c>
      <c r="L52" s="172">
        <v>17</v>
      </c>
      <c r="M52" s="13">
        <f t="shared" si="39"/>
        <v>1902.2222222222215</v>
      </c>
      <c r="N52" s="13">
        <f t="shared" si="3"/>
        <v>111.89542483660126</v>
      </c>
      <c r="O52" s="14">
        <f t="shared" si="4"/>
        <v>0</v>
      </c>
      <c r="P52" s="15">
        <f t="shared" si="5"/>
        <v>-5.751633986928141</v>
      </c>
      <c r="Q52" s="170">
        <f t="shared" si="6"/>
        <v>0.9511111111111108</v>
      </c>
      <c r="R52" s="616"/>
      <c r="S52" s="32">
        <v>0.70833333333333337</v>
      </c>
      <c r="T52" s="32">
        <v>0.76458333333333339</v>
      </c>
      <c r="U52" s="169" t="str">
        <f t="shared" si="38"/>
        <v/>
      </c>
      <c r="V52" s="173">
        <f t="shared" si="37"/>
        <v>81.000000000000028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-97.77777777777851</v>
      </c>
      <c r="AF52" s="170">
        <f t="shared" si="9"/>
        <v>0.9511111111111108</v>
      </c>
      <c r="AG52" s="616"/>
    </row>
    <row r="53" spans="1:33" ht="15.75" customHeight="1">
      <c r="A53" s="621" t="s">
        <v>71</v>
      </c>
      <c r="B53" s="27" t="s">
        <v>5</v>
      </c>
      <c r="C53" s="605" t="s">
        <v>77</v>
      </c>
      <c r="D53" s="606"/>
      <c r="E53" s="27">
        <v>54.09</v>
      </c>
      <c r="F53" s="30">
        <v>1539</v>
      </c>
      <c r="G53" s="169">
        <f t="shared" si="35"/>
        <v>83244.510000000009</v>
      </c>
      <c r="H53" s="31" t="s">
        <v>40</v>
      </c>
      <c r="I53" s="172">
        <v>13</v>
      </c>
      <c r="J53" s="29">
        <v>2000</v>
      </c>
      <c r="K53" s="12">
        <f t="shared" si="1"/>
        <v>153.84615384615384</v>
      </c>
      <c r="L53" s="172">
        <v>13</v>
      </c>
      <c r="M53" s="13">
        <f t="shared" si="39"/>
        <v>1923.7500000000005</v>
      </c>
      <c r="N53" s="13">
        <f t="shared" si="3"/>
        <v>147.98076923076925</v>
      </c>
      <c r="O53" s="14">
        <f t="shared" si="4"/>
        <v>0</v>
      </c>
      <c r="P53" s="15">
        <f t="shared" si="5"/>
        <v>-5.8653846153845848</v>
      </c>
      <c r="Q53" s="170">
        <f t="shared" si="6"/>
        <v>0.96187500000000015</v>
      </c>
      <c r="R53" s="616"/>
      <c r="S53" s="32">
        <v>0.76875000000000004</v>
      </c>
      <c r="T53" s="32">
        <v>0.80208333333333337</v>
      </c>
      <c r="U53" s="169">
        <f t="shared" si="38"/>
        <v>5.9999999999999787</v>
      </c>
      <c r="V53" s="173">
        <f t="shared" si="37"/>
        <v>47.999999999999986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-76.249999999999545</v>
      </c>
      <c r="AF53" s="170">
        <f t="shared" si="9"/>
        <v>0.96187500000000026</v>
      </c>
      <c r="AG53" s="616"/>
    </row>
    <row r="54" spans="1:33" ht="15.75" customHeight="1">
      <c r="A54" s="621" t="s">
        <v>71</v>
      </c>
      <c r="B54" s="27" t="s">
        <v>5</v>
      </c>
      <c r="C54" s="605" t="s">
        <v>65</v>
      </c>
      <c r="D54" s="606"/>
      <c r="E54" s="27">
        <v>56.43</v>
      </c>
      <c r="F54" s="30">
        <v>1734</v>
      </c>
      <c r="G54" s="169">
        <f t="shared" si="35"/>
        <v>97849.62</v>
      </c>
      <c r="H54" s="31" t="s">
        <v>40</v>
      </c>
      <c r="I54" s="172">
        <v>13</v>
      </c>
      <c r="J54" s="29">
        <v>2000</v>
      </c>
      <c r="K54" s="12">
        <f t="shared" si="1"/>
        <v>153.84615384615384</v>
      </c>
      <c r="L54" s="172">
        <v>13</v>
      </c>
      <c r="M54" s="13">
        <f t="shared" si="39"/>
        <v>1926.6666666666677</v>
      </c>
      <c r="N54" s="13">
        <f t="shared" si="3"/>
        <v>148.20512820512829</v>
      </c>
      <c r="O54" s="14">
        <f t="shared" si="4"/>
        <v>0</v>
      </c>
      <c r="P54" s="15">
        <f t="shared" si="5"/>
        <v>-5.6410256410255499</v>
      </c>
      <c r="Q54" s="170">
        <f t="shared" si="6"/>
        <v>0.96333333333333393</v>
      </c>
      <c r="R54" s="616"/>
      <c r="S54" s="32">
        <v>0.80555555555555558</v>
      </c>
      <c r="T54" s="32">
        <v>0.84305555555555556</v>
      </c>
      <c r="U54" s="169">
        <f t="shared" si="38"/>
        <v>4.9999999999999822</v>
      </c>
      <c r="V54" s="173">
        <f t="shared" si="37"/>
        <v>53.999999999999972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-73.333333333332348</v>
      </c>
      <c r="AF54" s="170">
        <f t="shared" si="9"/>
        <v>0.96333333333333382</v>
      </c>
      <c r="AG54" s="616"/>
    </row>
    <row r="55" spans="1:33">
      <c r="A55" s="622" t="s">
        <v>624</v>
      </c>
      <c r="B55" s="27" t="s">
        <v>625</v>
      </c>
      <c r="C55" s="658"/>
      <c r="D55" s="658"/>
      <c r="E55" s="171"/>
      <c r="F55" s="28"/>
      <c r="G55" s="12"/>
      <c r="H55" s="174"/>
      <c r="I55" s="21">
        <v>16.714285714285715</v>
      </c>
      <c r="J55" s="29">
        <v>2000</v>
      </c>
      <c r="K55" s="12">
        <f t="shared" si="1"/>
        <v>119.65811965811965</v>
      </c>
      <c r="L55" s="21">
        <v>16.714285714285715</v>
      </c>
      <c r="M55" s="13">
        <f>AVERAGE(M48:M54)</f>
        <v>1915.4735240906787</v>
      </c>
      <c r="N55" s="12">
        <f t="shared" si="3"/>
        <v>114.60098007380128</v>
      </c>
      <c r="O55" s="14">
        <f t="shared" si="4"/>
        <v>0</v>
      </c>
      <c r="P55" s="15">
        <f t="shared" si="5"/>
        <v>-5.0571395843183637</v>
      </c>
      <c r="Q55" s="170">
        <f t="shared" si="6"/>
        <v>0.95773676204533942</v>
      </c>
      <c r="R55" s="616"/>
      <c r="S55" s="32"/>
      <c r="T55" s="32"/>
      <c r="U55" s="169"/>
      <c r="V55" s="173"/>
      <c r="W55" s="12"/>
      <c r="X55" s="12"/>
      <c r="Y55" s="22">
        <f>SUM(Y48:Y54)</f>
        <v>0</v>
      </c>
      <c r="Z55" s="22">
        <f>SUM(Z48:Z54)</f>
        <v>0</v>
      </c>
      <c r="AA55" s="611"/>
      <c r="AB55" s="611"/>
      <c r="AC55" s="22">
        <v>7</v>
      </c>
      <c r="AD55" s="22">
        <f>SUM(AD48:AD54)</f>
        <v>0</v>
      </c>
      <c r="AE55" s="14">
        <f>M55-J55</f>
        <v>-84.526475909321334</v>
      </c>
      <c r="AF55" s="170">
        <f t="shared" si="9"/>
        <v>0.95773676204533931</v>
      </c>
      <c r="AG55" s="616"/>
    </row>
    <row r="56" spans="1:33" ht="15.75" customHeight="1">
      <c r="A56" s="617" t="s">
        <v>72</v>
      </c>
      <c r="B56" s="174" t="s">
        <v>27</v>
      </c>
      <c r="C56" s="660" t="s">
        <v>28</v>
      </c>
      <c r="D56" s="660"/>
      <c r="E56" s="27">
        <v>35.119999999999997</v>
      </c>
      <c r="F56" s="30">
        <v>6098</v>
      </c>
      <c r="G56" s="169">
        <f t="shared" ref="G56:G59" si="40">E56*F56</f>
        <v>214161.75999999998</v>
      </c>
      <c r="H56" s="31" t="s">
        <v>40</v>
      </c>
      <c r="I56" s="172">
        <v>10</v>
      </c>
      <c r="J56" s="29">
        <v>3000</v>
      </c>
      <c r="K56" s="12">
        <f t="shared" si="1"/>
        <v>300</v>
      </c>
      <c r="L56" s="172">
        <v>10</v>
      </c>
      <c r="M56" s="13">
        <f t="shared" ref="M56:M59" si="41">F56/V56*60</f>
        <v>2858.4375000000005</v>
      </c>
      <c r="N56" s="12">
        <f t="shared" si="3"/>
        <v>285.84375000000006</v>
      </c>
      <c r="O56" s="14">
        <f t="shared" si="4"/>
        <v>0</v>
      </c>
      <c r="P56" s="15">
        <f t="shared" si="5"/>
        <v>-14.156249999999943</v>
      </c>
      <c r="Q56" s="170">
        <f t="shared" si="6"/>
        <v>0.95281250000000017</v>
      </c>
      <c r="R56" s="616">
        <f>Q60</f>
        <v>0.95476014254385966</v>
      </c>
      <c r="S56" s="32">
        <v>0.20833333333333334</v>
      </c>
      <c r="T56" s="32">
        <v>0.29722222222222222</v>
      </c>
      <c r="U56" s="169"/>
      <c r="V56" s="173">
        <f t="shared" ref="V56:V59" si="42">(T56-S56)*24*60</f>
        <v>127.99999999999997</v>
      </c>
      <c r="W56" s="16"/>
      <c r="X56" s="16"/>
      <c r="Y56" s="20"/>
      <c r="Z56" s="20"/>
      <c r="AA56" s="612"/>
      <c r="AB56" s="612"/>
      <c r="AC56" s="18">
        <v>4</v>
      </c>
      <c r="AD56" s="18"/>
      <c r="AE56" s="14">
        <f t="shared" ref="AE56:AE68" si="43">M56-J56</f>
        <v>-141.56249999999955</v>
      </c>
      <c r="AF56" s="170">
        <f t="shared" si="9"/>
        <v>0.95281250000000017</v>
      </c>
      <c r="AG56" s="616">
        <f>AF60</f>
        <v>0.95476014254385977</v>
      </c>
    </row>
    <row r="57" spans="1:33" ht="15.75" customHeight="1">
      <c r="A57" s="617" t="s">
        <v>72</v>
      </c>
      <c r="B57" s="174" t="s">
        <v>27</v>
      </c>
      <c r="C57" s="660" t="s">
        <v>34</v>
      </c>
      <c r="D57" s="660"/>
      <c r="E57" s="27">
        <v>26.78</v>
      </c>
      <c r="F57" s="30">
        <v>2945</v>
      </c>
      <c r="G57" s="169">
        <f t="shared" si="40"/>
        <v>78867.100000000006</v>
      </c>
      <c r="H57" s="31" t="s">
        <v>40</v>
      </c>
      <c r="I57" s="172">
        <v>10</v>
      </c>
      <c r="J57" s="29">
        <v>3000</v>
      </c>
      <c r="K57" s="12">
        <f t="shared" si="1"/>
        <v>300</v>
      </c>
      <c r="L57" s="172">
        <v>10</v>
      </c>
      <c r="M57" s="13">
        <f t="shared" si="41"/>
        <v>2849.9999999999991</v>
      </c>
      <c r="N57" s="12">
        <f t="shared" si="3"/>
        <v>284.99999999999989</v>
      </c>
      <c r="O57" s="14">
        <f t="shared" si="4"/>
        <v>0</v>
      </c>
      <c r="P57" s="15">
        <f t="shared" si="5"/>
        <v>-15.000000000000114</v>
      </c>
      <c r="Q57" s="170">
        <f t="shared" si="6"/>
        <v>0.94999999999999962</v>
      </c>
      <c r="R57" s="616"/>
      <c r="S57" s="32">
        <v>0.30138888888888887</v>
      </c>
      <c r="T57" s="32">
        <v>0.34444444444444444</v>
      </c>
      <c r="U57" s="169">
        <f t="shared" ref="U57:U59" si="44">(S57-T56)*24*60</f>
        <v>5.9999999999999787</v>
      </c>
      <c r="V57" s="173">
        <f t="shared" si="42"/>
        <v>62.000000000000021</v>
      </c>
      <c r="W57" s="169"/>
      <c r="X57" s="169"/>
      <c r="Y57" s="169"/>
      <c r="Z57" s="169"/>
      <c r="AA57" s="612"/>
      <c r="AB57" s="612"/>
      <c r="AC57" s="18"/>
      <c r="AD57" s="18"/>
      <c r="AE57" s="14">
        <f t="shared" si="43"/>
        <v>-150.00000000000091</v>
      </c>
      <c r="AF57" s="170">
        <f t="shared" si="9"/>
        <v>0.94999999999999973</v>
      </c>
      <c r="AG57" s="616"/>
    </row>
    <row r="58" spans="1:33" ht="15.75" customHeight="1">
      <c r="A58" s="617" t="s">
        <v>72</v>
      </c>
      <c r="B58" s="174" t="s">
        <v>27</v>
      </c>
      <c r="C58" s="660" t="s">
        <v>35</v>
      </c>
      <c r="D58" s="660"/>
      <c r="E58" s="27">
        <v>35.869999999999997</v>
      </c>
      <c r="F58" s="30">
        <v>3621</v>
      </c>
      <c r="G58" s="169">
        <f t="shared" si="40"/>
        <v>129885.26999999999</v>
      </c>
      <c r="H58" s="31" t="s">
        <v>40</v>
      </c>
      <c r="I58" s="172">
        <v>9</v>
      </c>
      <c r="J58" s="29">
        <v>3000</v>
      </c>
      <c r="K58" s="12">
        <f t="shared" si="1"/>
        <v>333.33333333333331</v>
      </c>
      <c r="L58" s="172">
        <v>9</v>
      </c>
      <c r="M58" s="13">
        <f t="shared" si="41"/>
        <v>2858.6842105263167</v>
      </c>
      <c r="N58" s="12">
        <f t="shared" si="3"/>
        <v>317.63157894736855</v>
      </c>
      <c r="O58" s="14">
        <f t="shared" si="4"/>
        <v>0</v>
      </c>
      <c r="P58" s="15">
        <f t="shared" si="5"/>
        <v>-15.701754385964762</v>
      </c>
      <c r="Q58" s="170">
        <f t="shared" si="6"/>
        <v>0.95289473684210568</v>
      </c>
      <c r="R58" s="616"/>
      <c r="S58" s="32">
        <v>0.34861111111111109</v>
      </c>
      <c r="T58" s="32">
        <v>0.40138888888888885</v>
      </c>
      <c r="U58" s="169">
        <f t="shared" si="44"/>
        <v>5.9999999999999787</v>
      </c>
      <c r="V58" s="173">
        <f t="shared" si="42"/>
        <v>75.999999999999972</v>
      </c>
      <c r="W58" s="169"/>
      <c r="X58" s="169"/>
      <c r="Y58" s="169"/>
      <c r="Z58" s="169"/>
      <c r="AA58" s="612"/>
      <c r="AB58" s="612"/>
      <c r="AC58" s="18"/>
      <c r="AD58" s="18"/>
      <c r="AE58" s="14">
        <f t="shared" si="43"/>
        <v>-141.31578947368325</v>
      </c>
      <c r="AF58" s="170">
        <f t="shared" si="9"/>
        <v>0.95289473684210557</v>
      </c>
      <c r="AG58" s="616"/>
    </row>
    <row r="59" spans="1:33" ht="15.75" customHeight="1">
      <c r="A59" s="617" t="s">
        <v>72</v>
      </c>
      <c r="B59" s="174" t="s">
        <v>27</v>
      </c>
      <c r="C59" s="660" t="s">
        <v>36</v>
      </c>
      <c r="D59" s="660"/>
      <c r="E59" s="27">
        <v>34.35</v>
      </c>
      <c r="F59" s="30">
        <v>2023</v>
      </c>
      <c r="G59" s="169">
        <f t="shared" si="40"/>
        <v>69490.05</v>
      </c>
      <c r="H59" s="31" t="s">
        <v>40</v>
      </c>
      <c r="I59" s="172">
        <v>8</v>
      </c>
      <c r="J59" s="29">
        <v>3000</v>
      </c>
      <c r="K59" s="12">
        <f t="shared" si="1"/>
        <v>375</v>
      </c>
      <c r="L59" s="172">
        <v>8</v>
      </c>
      <c r="M59" s="13">
        <f t="shared" si="41"/>
        <v>2889.9999999999991</v>
      </c>
      <c r="N59" s="12">
        <f t="shared" si="3"/>
        <v>361.24999999999989</v>
      </c>
      <c r="O59" s="14">
        <f t="shared" si="4"/>
        <v>0</v>
      </c>
      <c r="P59" s="15">
        <f t="shared" si="5"/>
        <v>-13.750000000000114</v>
      </c>
      <c r="Q59" s="170">
        <f t="shared" si="6"/>
        <v>0.96333333333333304</v>
      </c>
      <c r="R59" s="616"/>
      <c r="S59" s="32">
        <v>0.40624999999999994</v>
      </c>
      <c r="T59" s="32">
        <v>0.43541666666666662</v>
      </c>
      <c r="U59" s="169">
        <f t="shared" si="44"/>
        <v>6.9999999999999751</v>
      </c>
      <c r="V59" s="173">
        <f t="shared" si="42"/>
        <v>42.000000000000014</v>
      </c>
      <c r="W59" s="169"/>
      <c r="X59" s="169"/>
      <c r="Y59" s="169"/>
      <c r="Z59" s="169"/>
      <c r="AA59" s="612"/>
      <c r="AB59" s="612"/>
      <c r="AC59" s="18"/>
      <c r="AD59" s="18"/>
      <c r="AE59" s="14">
        <f t="shared" si="43"/>
        <v>-110.00000000000091</v>
      </c>
      <c r="AF59" s="170">
        <f t="shared" si="9"/>
        <v>0.96333333333333304</v>
      </c>
      <c r="AG59" s="616"/>
    </row>
    <row r="60" spans="1:33">
      <c r="A60" s="618" t="s">
        <v>626</v>
      </c>
      <c r="B60" s="27" t="s">
        <v>70</v>
      </c>
      <c r="C60" s="658"/>
      <c r="D60" s="658"/>
      <c r="E60" s="171"/>
      <c r="F60" s="28"/>
      <c r="G60" s="12"/>
      <c r="H60" s="174"/>
      <c r="I60" s="21">
        <v>9.25</v>
      </c>
      <c r="J60" s="29">
        <v>3000</v>
      </c>
      <c r="K60" s="12">
        <f t="shared" si="1"/>
        <v>324.32432432432432</v>
      </c>
      <c r="L60" s="21">
        <v>9.25</v>
      </c>
      <c r="M60" s="13">
        <f>AVERAGE(M56:M59)</f>
        <v>2864.2804276315792</v>
      </c>
      <c r="N60" s="12">
        <f t="shared" si="3"/>
        <v>309.65193812233287</v>
      </c>
      <c r="O60" s="14">
        <f t="shared" si="4"/>
        <v>0</v>
      </c>
      <c r="P60" s="15">
        <f t="shared" si="5"/>
        <v>-14.672386201991458</v>
      </c>
      <c r="Q60" s="170">
        <f t="shared" si="6"/>
        <v>0.95476014254385966</v>
      </c>
      <c r="R60" s="616"/>
      <c r="S60" s="32"/>
      <c r="T60" s="32"/>
      <c r="U60" s="12"/>
      <c r="V60" s="173"/>
      <c r="W60" s="12"/>
      <c r="X60" s="12"/>
      <c r="Y60" s="22">
        <f>SUM(Y56:Y59)</f>
        <v>0</v>
      </c>
      <c r="Z60" s="22">
        <f>SUM(Z56:Z59)</f>
        <v>0</v>
      </c>
      <c r="AA60" s="611"/>
      <c r="AB60" s="611"/>
      <c r="AC60" s="22">
        <v>4</v>
      </c>
      <c r="AD60" s="22">
        <f>SUM(AD56:AD59)</f>
        <v>0</v>
      </c>
      <c r="AE60" s="14">
        <f t="shared" si="43"/>
        <v>-135.71957236842081</v>
      </c>
      <c r="AF60" s="170">
        <f t="shared" si="9"/>
        <v>0.95476014254385977</v>
      </c>
      <c r="AG60" s="616"/>
    </row>
    <row r="61" spans="1:33" ht="15.75" customHeight="1">
      <c r="A61" s="613" t="s">
        <v>627</v>
      </c>
      <c r="B61" s="174" t="s">
        <v>20</v>
      </c>
      <c r="C61" s="660" t="s">
        <v>39</v>
      </c>
      <c r="D61" s="660"/>
      <c r="E61" s="27">
        <v>19.02</v>
      </c>
      <c r="F61" s="174">
        <v>6000</v>
      </c>
      <c r="G61" s="169">
        <f t="shared" ref="G61:G67" si="45">E61*F61</f>
        <v>114120</v>
      </c>
      <c r="H61" s="31">
        <v>2</v>
      </c>
      <c r="I61" s="172">
        <v>14</v>
      </c>
      <c r="J61" s="29">
        <v>2400</v>
      </c>
      <c r="K61" s="12">
        <f t="shared" si="1"/>
        <v>171.42857142857142</v>
      </c>
      <c r="L61" s="172">
        <v>14</v>
      </c>
      <c r="M61" s="13">
        <f t="shared" ref="M61:M67" si="46">F61/V61*60</f>
        <v>2292.993630573249</v>
      </c>
      <c r="N61" s="12">
        <f t="shared" si="3"/>
        <v>163.78525932666065</v>
      </c>
      <c r="O61" s="14">
        <f t="shared" si="4"/>
        <v>0</v>
      </c>
      <c r="P61" s="15">
        <f t="shared" si="5"/>
        <v>-7.6433121019107659</v>
      </c>
      <c r="Q61" s="170">
        <f t="shared" si="6"/>
        <v>0.95541401273885385</v>
      </c>
      <c r="R61" s="616">
        <f>Q68</f>
        <v>0.95729245503553062</v>
      </c>
      <c r="S61" s="32">
        <v>8.3333333333333329E-2</v>
      </c>
      <c r="T61" s="32">
        <v>0.19236111111111109</v>
      </c>
      <c r="U61" s="20"/>
      <c r="V61" s="173">
        <f t="shared" ref="V61:V67" si="47">(T61-S61)*24*60</f>
        <v>156.99999999999997</v>
      </c>
      <c r="W61" s="16">
        <f>T61</f>
        <v>0.19236111111111109</v>
      </c>
      <c r="X61" s="16">
        <f>S62</f>
        <v>0.21388888888888888</v>
      </c>
      <c r="Y61" s="16"/>
      <c r="Z61" s="16"/>
      <c r="AA61" s="612"/>
      <c r="AB61" s="612"/>
      <c r="AC61" s="18">
        <v>7</v>
      </c>
      <c r="AD61" s="18"/>
      <c r="AE61" s="14">
        <f t="shared" si="43"/>
        <v>-107.00636942675101</v>
      </c>
      <c r="AF61" s="170">
        <f t="shared" si="9"/>
        <v>0.95541401273885374</v>
      </c>
      <c r="AG61" s="616">
        <f>AF68</f>
        <v>0.95729245503553062</v>
      </c>
    </row>
    <row r="62" spans="1:33" ht="15.75" customHeight="1">
      <c r="A62" s="614" t="s">
        <v>73</v>
      </c>
      <c r="B62" s="174" t="s">
        <v>20</v>
      </c>
      <c r="C62" s="660" t="s">
        <v>24</v>
      </c>
      <c r="D62" s="660"/>
      <c r="E62" s="27">
        <v>20.36</v>
      </c>
      <c r="F62" s="174">
        <v>4918</v>
      </c>
      <c r="G62" s="169">
        <f t="shared" si="45"/>
        <v>100130.48</v>
      </c>
      <c r="H62" s="31" t="s">
        <v>40</v>
      </c>
      <c r="I62" s="172">
        <v>17</v>
      </c>
      <c r="J62" s="29">
        <v>2400</v>
      </c>
      <c r="K62" s="12">
        <f t="shared" si="1"/>
        <v>141.1764705882353</v>
      </c>
      <c r="L62" s="172">
        <v>17</v>
      </c>
      <c r="M62" s="13">
        <f t="shared" si="46"/>
        <v>2287.4418604651169</v>
      </c>
      <c r="N62" s="12">
        <f t="shared" si="3"/>
        <v>134.55540355677158</v>
      </c>
      <c r="O62" s="14">
        <f t="shared" si="4"/>
        <v>0</v>
      </c>
      <c r="P62" s="15">
        <f t="shared" si="5"/>
        <v>-6.6210670314637241</v>
      </c>
      <c r="Q62" s="170">
        <f t="shared" si="6"/>
        <v>0.95310077519379865</v>
      </c>
      <c r="R62" s="616"/>
      <c r="S62" s="32">
        <v>0.21388888888888888</v>
      </c>
      <c r="T62" s="32">
        <v>0.3034722222222222</v>
      </c>
      <c r="U62" s="169">
        <f t="shared" ref="U62:U67" si="48">(S62-T61)*24*60</f>
        <v>31.000000000000011</v>
      </c>
      <c r="V62" s="173">
        <f t="shared" si="47"/>
        <v>128.99999999999997</v>
      </c>
      <c r="W62" s="16"/>
      <c r="X62" s="16"/>
      <c r="Y62" s="16"/>
      <c r="Z62" s="16"/>
      <c r="AA62" s="612"/>
      <c r="AB62" s="612"/>
      <c r="AC62" s="18"/>
      <c r="AD62" s="18"/>
      <c r="AE62" s="14">
        <f t="shared" si="43"/>
        <v>-112.55813953488314</v>
      </c>
      <c r="AF62" s="170">
        <f t="shared" si="9"/>
        <v>0.95310077519379865</v>
      </c>
      <c r="AG62" s="616"/>
    </row>
    <row r="63" spans="1:33" ht="15.75" customHeight="1">
      <c r="A63" s="614" t="s">
        <v>628</v>
      </c>
      <c r="B63" s="174" t="s">
        <v>20</v>
      </c>
      <c r="C63" s="660" t="s">
        <v>59</v>
      </c>
      <c r="D63" s="660"/>
      <c r="E63" s="27">
        <v>25.99</v>
      </c>
      <c r="F63" s="174">
        <v>1774</v>
      </c>
      <c r="G63" s="169">
        <f t="shared" si="45"/>
        <v>46106.259999999995</v>
      </c>
      <c r="H63" s="31" t="s">
        <v>40</v>
      </c>
      <c r="I63" s="172">
        <v>18</v>
      </c>
      <c r="J63" s="29">
        <v>2400</v>
      </c>
      <c r="K63" s="12">
        <f t="shared" si="1"/>
        <v>133.33333333333334</v>
      </c>
      <c r="L63" s="172">
        <v>18</v>
      </c>
      <c r="M63" s="13">
        <f t="shared" si="46"/>
        <v>2313.913043478261</v>
      </c>
      <c r="N63" s="12">
        <f t="shared" si="3"/>
        <v>128.55072463768116</v>
      </c>
      <c r="O63" s="14">
        <f t="shared" si="4"/>
        <v>0</v>
      </c>
      <c r="P63" s="15">
        <f t="shared" si="5"/>
        <v>-4.7826086956521863</v>
      </c>
      <c r="Q63" s="170">
        <f t="shared" si="6"/>
        <v>0.96413043478260863</v>
      </c>
      <c r="R63" s="616"/>
      <c r="S63" s="32">
        <v>0.30763888888888885</v>
      </c>
      <c r="T63" s="32">
        <v>0.33958333333333329</v>
      </c>
      <c r="U63" s="169">
        <f t="shared" si="48"/>
        <v>5.9999999999999787</v>
      </c>
      <c r="V63" s="173">
        <f t="shared" si="47"/>
        <v>46</v>
      </c>
      <c r="W63" s="16"/>
      <c r="X63" s="16"/>
      <c r="Y63" s="16"/>
      <c r="Z63" s="16"/>
      <c r="AA63" s="612"/>
      <c r="AB63" s="612"/>
      <c r="AC63" s="18"/>
      <c r="AD63" s="18"/>
      <c r="AE63" s="14">
        <f t="shared" si="43"/>
        <v>-86.086956521739012</v>
      </c>
      <c r="AF63" s="170">
        <f t="shared" si="9"/>
        <v>0.96413043478260874</v>
      </c>
      <c r="AG63" s="616"/>
    </row>
    <row r="64" spans="1:33" ht="15.75" customHeight="1">
      <c r="A64" s="614" t="s">
        <v>73</v>
      </c>
      <c r="B64" s="174" t="s">
        <v>20</v>
      </c>
      <c r="C64" s="660" t="s">
        <v>38</v>
      </c>
      <c r="D64" s="660"/>
      <c r="E64" s="27">
        <v>22.69</v>
      </c>
      <c r="F64" s="174">
        <v>2928</v>
      </c>
      <c r="G64" s="169">
        <f t="shared" si="45"/>
        <v>66436.320000000007</v>
      </c>
      <c r="H64" s="31" t="s">
        <v>40</v>
      </c>
      <c r="I64" s="172">
        <v>15</v>
      </c>
      <c r="J64" s="29">
        <v>2400</v>
      </c>
      <c r="K64" s="12">
        <f t="shared" si="1"/>
        <v>160</v>
      </c>
      <c r="L64" s="172">
        <v>15</v>
      </c>
      <c r="M64" s="13">
        <f t="shared" si="46"/>
        <v>2311.5789473684217</v>
      </c>
      <c r="N64" s="12">
        <f t="shared" si="3"/>
        <v>154.10526315789477</v>
      </c>
      <c r="O64" s="14">
        <f t="shared" si="4"/>
        <v>0</v>
      </c>
      <c r="P64" s="15">
        <f t="shared" si="5"/>
        <v>-5.8947368421052317</v>
      </c>
      <c r="Q64" s="170">
        <f t="shared" si="6"/>
        <v>0.96315789473684232</v>
      </c>
      <c r="R64" s="616"/>
      <c r="S64" s="32">
        <v>0.34513888888888883</v>
      </c>
      <c r="T64" s="32">
        <v>0.39791666666666659</v>
      </c>
      <c r="U64" s="169">
        <f t="shared" si="48"/>
        <v>7.9999999999999716</v>
      </c>
      <c r="V64" s="173">
        <f t="shared" si="47"/>
        <v>75.999999999999972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-88.421052631578277</v>
      </c>
      <c r="AF64" s="170">
        <f t="shared" si="9"/>
        <v>0.96315789473684243</v>
      </c>
      <c r="AG64" s="616"/>
    </row>
    <row r="65" spans="1:33" ht="15.75" customHeight="1">
      <c r="A65" s="614" t="s">
        <v>73</v>
      </c>
      <c r="B65" s="174" t="s">
        <v>20</v>
      </c>
      <c r="C65" s="660" t="s">
        <v>80</v>
      </c>
      <c r="D65" s="660"/>
      <c r="E65" s="27">
        <v>25.98</v>
      </c>
      <c r="F65" s="174">
        <v>4513</v>
      </c>
      <c r="G65" s="169">
        <f t="shared" si="45"/>
        <v>117247.74</v>
      </c>
      <c r="H65" s="31" t="s">
        <v>40</v>
      </c>
      <c r="I65" s="172">
        <v>17</v>
      </c>
      <c r="J65" s="29">
        <v>2400</v>
      </c>
      <c r="K65" s="12">
        <f t="shared" si="1"/>
        <v>141.1764705882353</v>
      </c>
      <c r="L65" s="172">
        <v>17</v>
      </c>
      <c r="M65" s="13">
        <f t="shared" si="46"/>
        <v>2294.7457627118647</v>
      </c>
      <c r="N65" s="12">
        <f t="shared" si="3"/>
        <v>134.98504486540381</v>
      </c>
      <c r="O65" s="14">
        <f t="shared" si="4"/>
        <v>0</v>
      </c>
      <c r="P65" s="15">
        <f t="shared" si="5"/>
        <v>-6.1914257228314966</v>
      </c>
      <c r="Q65" s="170">
        <f t="shared" si="6"/>
        <v>0.95614406779661021</v>
      </c>
      <c r="R65" s="616"/>
      <c r="S65" s="32">
        <v>0.40208333333333324</v>
      </c>
      <c r="T65" s="32">
        <v>0.48402777777777767</v>
      </c>
      <c r="U65" s="169">
        <f t="shared" si="48"/>
        <v>5.9999999999999787</v>
      </c>
      <c r="V65" s="173">
        <f t="shared" si="47"/>
        <v>117.99999999999999</v>
      </c>
      <c r="W65" s="16">
        <f>T65</f>
        <v>0.48402777777777767</v>
      </c>
      <c r="X65" s="16">
        <f>S66</f>
        <v>0.52430555555555536</v>
      </c>
      <c r="Y65" s="16"/>
      <c r="Z65" s="16"/>
      <c r="AA65" s="612"/>
      <c r="AB65" s="612"/>
      <c r="AC65" s="18"/>
      <c r="AD65" s="18"/>
      <c r="AE65" s="14">
        <f t="shared" si="43"/>
        <v>-105.2542372881353</v>
      </c>
      <c r="AF65" s="170">
        <f t="shared" si="9"/>
        <v>0.95614406779661032</v>
      </c>
      <c r="AG65" s="616"/>
    </row>
    <row r="66" spans="1:33" ht="15.75" customHeight="1">
      <c r="A66" s="614" t="s">
        <v>629</v>
      </c>
      <c r="B66" s="174" t="s">
        <v>20</v>
      </c>
      <c r="C66" s="660" t="s">
        <v>39</v>
      </c>
      <c r="D66" s="660"/>
      <c r="E66" s="27">
        <v>19.02</v>
      </c>
      <c r="F66" s="174">
        <v>4778</v>
      </c>
      <c r="G66" s="169">
        <f t="shared" si="45"/>
        <v>90877.56</v>
      </c>
      <c r="H66" s="31" t="s">
        <v>40</v>
      </c>
      <c r="I66" s="172">
        <v>14</v>
      </c>
      <c r="J66" s="29">
        <v>2400</v>
      </c>
      <c r="K66" s="12">
        <f t="shared" si="1"/>
        <v>171.42857142857142</v>
      </c>
      <c r="L66" s="172">
        <v>14</v>
      </c>
      <c r="M66" s="13">
        <f t="shared" si="46"/>
        <v>2293.4399999999996</v>
      </c>
      <c r="N66" s="12">
        <f t="shared" si="3"/>
        <v>163.81714285714284</v>
      </c>
      <c r="O66" s="14">
        <f t="shared" si="4"/>
        <v>0</v>
      </c>
      <c r="P66" s="15">
        <f t="shared" si="5"/>
        <v>-7.6114285714285757</v>
      </c>
      <c r="Q66" s="170">
        <f t="shared" si="6"/>
        <v>0.9556</v>
      </c>
      <c r="R66" s="616"/>
      <c r="S66" s="32">
        <v>0.52430555555555536</v>
      </c>
      <c r="T66" s="32">
        <v>0.61111111111111094</v>
      </c>
      <c r="U66" s="169">
        <f t="shared" si="48"/>
        <v>57.999999999999872</v>
      </c>
      <c r="V66" s="173">
        <f t="shared" si="47"/>
        <v>125.00000000000003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-106.5600000000004</v>
      </c>
      <c r="AF66" s="170">
        <f t="shared" si="9"/>
        <v>0.95559999999999978</v>
      </c>
      <c r="AG66" s="616"/>
    </row>
    <row r="67" spans="1:33" ht="15.75" customHeight="1">
      <c r="A67" s="614" t="s">
        <v>629</v>
      </c>
      <c r="B67" s="174" t="s">
        <v>20</v>
      </c>
      <c r="C67" s="605" t="s">
        <v>57</v>
      </c>
      <c r="D67" s="606"/>
      <c r="E67" s="27">
        <v>26.18</v>
      </c>
      <c r="F67" s="174">
        <v>3814</v>
      </c>
      <c r="G67" s="169">
        <f t="shared" si="45"/>
        <v>99850.52</v>
      </c>
      <c r="H67" s="31" t="s">
        <v>40</v>
      </c>
      <c r="I67" s="172">
        <v>18</v>
      </c>
      <c r="J67" s="29">
        <v>2400</v>
      </c>
      <c r="K67" s="12">
        <f t="shared" si="1"/>
        <v>133.33333333333334</v>
      </c>
      <c r="L67" s="172">
        <v>18</v>
      </c>
      <c r="M67" s="13">
        <f t="shared" si="46"/>
        <v>2288.4000000000005</v>
      </c>
      <c r="N67" s="12">
        <f t="shared" si="3"/>
        <v>127.13333333333337</v>
      </c>
      <c r="O67" s="14">
        <f t="shared" si="4"/>
        <v>0</v>
      </c>
      <c r="P67" s="15">
        <f t="shared" si="5"/>
        <v>-6.1999999999999744</v>
      </c>
      <c r="Q67" s="170">
        <f t="shared" si="6"/>
        <v>0.95350000000000024</v>
      </c>
      <c r="R67" s="616"/>
      <c r="S67" s="32">
        <v>0.61597222222222203</v>
      </c>
      <c r="T67" s="32">
        <v>0.68541666666666645</v>
      </c>
      <c r="U67" s="169">
        <f t="shared" si="48"/>
        <v>6.9999999999999751</v>
      </c>
      <c r="V67" s="173">
        <f t="shared" si="47"/>
        <v>99.999999999999972</v>
      </c>
      <c r="W67" s="16"/>
      <c r="X67" s="16"/>
      <c r="Y67" s="19"/>
      <c r="Z67" s="19"/>
      <c r="AA67" s="607"/>
      <c r="AB67" s="608"/>
      <c r="AC67" s="18"/>
      <c r="AD67" s="18"/>
      <c r="AE67" s="14">
        <f t="shared" si="43"/>
        <v>-111.59999999999945</v>
      </c>
      <c r="AF67" s="170">
        <f t="shared" si="9"/>
        <v>0.95350000000000024</v>
      </c>
      <c r="AG67" s="616"/>
    </row>
    <row r="68" spans="1:33" ht="16.5" customHeight="1">
      <c r="A68" s="615" t="s">
        <v>629</v>
      </c>
      <c r="B68" s="27" t="s">
        <v>630</v>
      </c>
      <c r="C68" s="609"/>
      <c r="D68" s="610"/>
      <c r="E68" s="171"/>
      <c r="F68" s="28"/>
      <c r="G68" s="12"/>
      <c r="H68" s="174"/>
      <c r="I68" s="21">
        <v>16.142857142857142</v>
      </c>
      <c r="J68" s="29">
        <v>2400</v>
      </c>
      <c r="K68" s="12">
        <f t="shared" si="1"/>
        <v>148.67256637168143</v>
      </c>
      <c r="L68" s="21">
        <v>16.142857142857142</v>
      </c>
      <c r="M68" s="13">
        <f>AVERAGE(M61:M67)</f>
        <v>2297.5018920852735</v>
      </c>
      <c r="N68" s="12">
        <f t="shared" si="3"/>
        <v>142.32312605837978</v>
      </c>
      <c r="O68" s="14">
        <f t="shared" si="4"/>
        <v>0</v>
      </c>
      <c r="P68" s="15">
        <f t="shared" si="5"/>
        <v>-6.3494403133016419</v>
      </c>
      <c r="Q68" s="170">
        <f t="shared" si="6"/>
        <v>0.95729245503553062</v>
      </c>
      <c r="R68" s="616"/>
      <c r="S68" s="32"/>
      <c r="T68" s="32"/>
      <c r="U68" s="12"/>
      <c r="V68" s="173"/>
      <c r="W68" s="12"/>
      <c r="X68" s="12"/>
      <c r="Y68" s="22">
        <f>SUM(Y61:Y67)</f>
        <v>0</v>
      </c>
      <c r="Z68" s="22">
        <f>SUM(Z61:Z67)</f>
        <v>0</v>
      </c>
      <c r="AA68" s="611"/>
      <c r="AB68" s="611"/>
      <c r="AC68" s="22">
        <v>7</v>
      </c>
      <c r="AD68" s="22">
        <f>SUM(AD61:AD67)</f>
        <v>0</v>
      </c>
      <c r="AE68" s="14">
        <f t="shared" si="43"/>
        <v>-102.49810791472646</v>
      </c>
      <c r="AF68" s="170">
        <f t="shared" si="9"/>
        <v>0.95729245503553062</v>
      </c>
      <c r="AG68" s="616"/>
    </row>
    <row r="69" spans="1:33">
      <c r="D69" s="23"/>
      <c r="E69" s="23"/>
    </row>
  </sheetData>
  <mergeCells count="18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13:AG21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A22:A28"/>
    <mergeCell ref="C22:D22"/>
    <mergeCell ref="R22:R28"/>
    <mergeCell ref="AA22:AB22"/>
    <mergeCell ref="AA27:AB27"/>
    <mergeCell ref="A13:A21"/>
    <mergeCell ref="C13:D13"/>
    <mergeCell ref="R13:R21"/>
    <mergeCell ref="AA13:AB13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6"/>
    <mergeCell ref="C29:D29"/>
    <mergeCell ref="R29:R36"/>
    <mergeCell ref="AA29:AB29"/>
    <mergeCell ref="AA34:AB34"/>
    <mergeCell ref="C35:D35"/>
    <mergeCell ref="AA35:AB35"/>
    <mergeCell ref="C36:D36"/>
    <mergeCell ref="AA36:AB36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44:A47"/>
    <mergeCell ref="C44:D44"/>
    <mergeCell ref="R44:R47"/>
    <mergeCell ref="AA44:AB44"/>
    <mergeCell ref="C40:D40"/>
    <mergeCell ref="AA40:AB40"/>
    <mergeCell ref="C41:D41"/>
    <mergeCell ref="AA41:AB41"/>
    <mergeCell ref="C42:D42"/>
    <mergeCell ref="AA42:AB42"/>
    <mergeCell ref="A37:A43"/>
    <mergeCell ref="C37:D37"/>
    <mergeCell ref="R37:R43"/>
    <mergeCell ref="AA37:AB37"/>
    <mergeCell ref="C38:D38"/>
    <mergeCell ref="AA38:AB38"/>
    <mergeCell ref="C39:D39"/>
    <mergeCell ref="AA39:AB39"/>
    <mergeCell ref="AG44:AG47"/>
    <mergeCell ref="C45:D45"/>
    <mergeCell ref="AA45:AB45"/>
    <mergeCell ref="C46:D46"/>
    <mergeCell ref="AA46:AB46"/>
    <mergeCell ref="C47:D47"/>
    <mergeCell ref="AA47:AB47"/>
    <mergeCell ref="C43:D43"/>
    <mergeCell ref="AA43:AB43"/>
    <mergeCell ref="AG37:AG43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56:AG60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A61:A68"/>
    <mergeCell ref="C61:D61"/>
    <mergeCell ref="R61:R68"/>
    <mergeCell ref="AA61:AB61"/>
    <mergeCell ref="AA66:AB66"/>
    <mergeCell ref="C67:D67"/>
    <mergeCell ref="AA67:AB67"/>
    <mergeCell ref="A56:A60"/>
    <mergeCell ref="C56:D56"/>
    <mergeCell ref="R56:R60"/>
    <mergeCell ref="AA56:AB56"/>
    <mergeCell ref="C68:D68"/>
    <mergeCell ref="AA68:AB68"/>
    <mergeCell ref="AG61:AG68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9:O66 O55:O56 O68 O5:O8 O12:O14 O21:O53">
    <cfRule type="cellIs" dxfId="408" priority="56" operator="greaterThan">
      <formula>0</formula>
    </cfRule>
  </conditionalFormatting>
  <conditionalFormatting sqref="P5:P6 P59 AE59 P61:P66 P29:P35 P56 P8 P12:P14 P22:P27 P48:P53 P37:P46 AE5:AE56 AE61:AE68">
    <cfRule type="cellIs" dxfId="407" priority="60" operator="lessThan">
      <formula>0</formula>
    </cfRule>
  </conditionalFormatting>
  <conditionalFormatting sqref="AF59 Q59:Q66 Q55:Q56 Q68 Q5:Q8 Q12:Q14 Q21:Q53 AF5:AF56 AF61:AF68">
    <cfRule type="cellIs" dxfId="406" priority="57" operator="greaterThan">
      <formula>1</formula>
    </cfRule>
    <cfRule type="cellIs" dxfId="405" priority="58" operator="lessThan">
      <formula>0.8</formula>
    </cfRule>
  </conditionalFormatting>
  <conditionalFormatting sqref="AG13:AG14 R13:R14 AG59 R59:R66 AG55:AG56 R55:R56 R68 AG5:AG8 R5:R8 AG21:AG53 R21:R53">
    <cfRule type="cellIs" dxfId="404" priority="62" operator="lessThan">
      <formula>0.8</formula>
    </cfRule>
  </conditionalFormatting>
  <conditionalFormatting sqref="AG44">
    <cfRule type="cellIs" dxfId="403" priority="64" operator="lessThan">
      <formula>0.8</formula>
    </cfRule>
  </conditionalFormatting>
  <conditionalFormatting sqref="AG22:AG27">
    <cfRule type="cellIs" dxfId="402" priority="61" operator="lessThan">
      <formula>0.8</formula>
    </cfRule>
  </conditionalFormatting>
  <conditionalFormatting sqref="AG29">
    <cfRule type="cellIs" dxfId="401" priority="63" operator="lessThan">
      <formula>0.8</formula>
    </cfRule>
  </conditionalFormatting>
  <conditionalFormatting sqref="AG37:AG42">
    <cfRule type="cellIs" dxfId="400" priority="59" operator="lessThan">
      <formula>0.8</formula>
    </cfRule>
  </conditionalFormatting>
  <conditionalFormatting sqref="AE60">
    <cfRule type="cellIs" dxfId="399" priority="55" operator="lessThan">
      <formula>0</formula>
    </cfRule>
  </conditionalFormatting>
  <conditionalFormatting sqref="AF60">
    <cfRule type="cellIs" dxfId="398" priority="53" operator="greaterThan">
      <formula>1</formula>
    </cfRule>
    <cfRule type="cellIs" dxfId="397" priority="54" operator="lessThan">
      <formula>0.8</formula>
    </cfRule>
  </conditionalFormatting>
  <conditionalFormatting sqref="O15:O16">
    <cfRule type="cellIs" dxfId="396" priority="48" operator="greaterThan">
      <formula>0</formula>
    </cfRule>
  </conditionalFormatting>
  <conditionalFormatting sqref="P15:P16">
    <cfRule type="cellIs" dxfId="395" priority="51" operator="lessThan">
      <formula>0</formula>
    </cfRule>
  </conditionalFormatting>
  <conditionalFormatting sqref="Q15:Q16">
    <cfRule type="cellIs" dxfId="394" priority="49" operator="greaterThan">
      <formula>1</formula>
    </cfRule>
    <cfRule type="cellIs" dxfId="393" priority="50" operator="lessThan">
      <formula>0.8</formula>
    </cfRule>
  </conditionalFormatting>
  <conditionalFormatting sqref="R15:R16 AG15:AG16">
    <cfRule type="cellIs" dxfId="392" priority="52" operator="lessThan">
      <formula>0.8</formula>
    </cfRule>
  </conditionalFormatting>
  <conditionalFormatting sqref="O9:O11">
    <cfRule type="cellIs" dxfId="391" priority="44" operator="greaterThan">
      <formula>0</formula>
    </cfRule>
  </conditionalFormatting>
  <conditionalFormatting sqref="P9:P11">
    <cfRule type="cellIs" dxfId="390" priority="47" operator="lessThan">
      <formula>0</formula>
    </cfRule>
  </conditionalFormatting>
  <conditionalFormatting sqref="Q9:Q11">
    <cfRule type="cellIs" dxfId="389" priority="45" operator="greaterThan">
      <formula>1</formula>
    </cfRule>
    <cfRule type="cellIs" dxfId="388" priority="46" operator="lessThan">
      <formula>0.8</formula>
    </cfRule>
  </conditionalFormatting>
  <conditionalFormatting sqref="O54">
    <cfRule type="cellIs" dxfId="387" priority="39" operator="greaterThan">
      <formula>0</formula>
    </cfRule>
  </conditionalFormatting>
  <conditionalFormatting sqref="P54">
    <cfRule type="cellIs" dxfId="386" priority="42" operator="lessThan">
      <formula>0</formula>
    </cfRule>
  </conditionalFormatting>
  <conditionalFormatting sqref="Q54">
    <cfRule type="cellIs" dxfId="385" priority="40" operator="greaterThan">
      <formula>1</formula>
    </cfRule>
    <cfRule type="cellIs" dxfId="384" priority="41" operator="lessThan">
      <formula>0.8</formula>
    </cfRule>
  </conditionalFormatting>
  <conditionalFormatting sqref="R54 AG54">
    <cfRule type="cellIs" dxfId="383" priority="43" operator="lessThan">
      <formula>0.8</formula>
    </cfRule>
  </conditionalFormatting>
  <conditionalFormatting sqref="O58">
    <cfRule type="cellIs" dxfId="382" priority="34" operator="greaterThan">
      <formula>0</formula>
    </cfRule>
  </conditionalFormatting>
  <conditionalFormatting sqref="P58 AE58">
    <cfRule type="cellIs" dxfId="381" priority="37" operator="lessThan">
      <formula>0</formula>
    </cfRule>
  </conditionalFormatting>
  <conditionalFormatting sqref="Q58 AF58">
    <cfRule type="cellIs" dxfId="380" priority="35" operator="greaterThan">
      <formula>1</formula>
    </cfRule>
    <cfRule type="cellIs" dxfId="379" priority="36" operator="lessThan">
      <formula>0.8</formula>
    </cfRule>
  </conditionalFormatting>
  <conditionalFormatting sqref="R58 AG58">
    <cfRule type="cellIs" dxfId="378" priority="38" operator="lessThan">
      <formula>0.8</formula>
    </cfRule>
  </conditionalFormatting>
  <conditionalFormatting sqref="O67">
    <cfRule type="cellIs" dxfId="377" priority="29" operator="greaterThan">
      <formula>0</formula>
    </cfRule>
  </conditionalFormatting>
  <conditionalFormatting sqref="P67">
    <cfRule type="cellIs" dxfId="376" priority="32" operator="lessThan">
      <formula>0</formula>
    </cfRule>
  </conditionalFormatting>
  <conditionalFormatting sqref="Q67">
    <cfRule type="cellIs" dxfId="375" priority="30" operator="greaterThan">
      <formula>1</formula>
    </cfRule>
    <cfRule type="cellIs" dxfId="374" priority="31" operator="lessThan">
      <formula>0.8</formula>
    </cfRule>
  </conditionalFormatting>
  <conditionalFormatting sqref="R67">
    <cfRule type="cellIs" dxfId="373" priority="33" operator="lessThan">
      <formula>0.8</formula>
    </cfRule>
  </conditionalFormatting>
  <conditionalFormatting sqref="O17:O18">
    <cfRule type="cellIs" dxfId="372" priority="24" operator="greaterThan">
      <formula>0</formula>
    </cfRule>
  </conditionalFormatting>
  <conditionalFormatting sqref="P17:P18">
    <cfRule type="cellIs" dxfId="371" priority="27" operator="lessThan">
      <formula>0</formula>
    </cfRule>
  </conditionalFormatting>
  <conditionalFormatting sqref="Q17:Q18">
    <cfRule type="cellIs" dxfId="370" priority="25" operator="greaterThan">
      <formula>1</formula>
    </cfRule>
    <cfRule type="cellIs" dxfId="369" priority="26" operator="lessThan">
      <formula>0.8</formula>
    </cfRule>
  </conditionalFormatting>
  <conditionalFormatting sqref="R17:R18 AG17:AG18">
    <cfRule type="cellIs" dxfId="368" priority="28" operator="lessThan">
      <formula>0.8</formula>
    </cfRule>
  </conditionalFormatting>
  <conditionalFormatting sqref="O57">
    <cfRule type="cellIs" dxfId="367" priority="19" operator="greaterThan">
      <formula>0</formula>
    </cfRule>
  </conditionalFormatting>
  <conditionalFormatting sqref="P57 AE57">
    <cfRule type="cellIs" dxfId="366" priority="22" operator="lessThan">
      <formula>0</formula>
    </cfRule>
  </conditionalFormatting>
  <conditionalFormatting sqref="Q57 AF57">
    <cfRule type="cellIs" dxfId="365" priority="20" operator="greaterThan">
      <formula>1</formula>
    </cfRule>
    <cfRule type="cellIs" dxfId="364" priority="21" operator="lessThan">
      <formula>0.8</formula>
    </cfRule>
  </conditionalFormatting>
  <conditionalFormatting sqref="R57 AG57">
    <cfRule type="cellIs" dxfId="363" priority="23" operator="lessThan">
      <formula>0.8</formula>
    </cfRule>
  </conditionalFormatting>
  <conditionalFormatting sqref="O19">
    <cfRule type="cellIs" dxfId="362" priority="14" operator="greaterThan">
      <formula>0</formula>
    </cfRule>
  </conditionalFormatting>
  <conditionalFormatting sqref="P19">
    <cfRule type="cellIs" dxfId="361" priority="17" operator="lessThan">
      <formula>0</formula>
    </cfRule>
  </conditionalFormatting>
  <conditionalFormatting sqref="Q19">
    <cfRule type="cellIs" dxfId="360" priority="15" operator="greaterThan">
      <formula>1</formula>
    </cfRule>
    <cfRule type="cellIs" dxfId="359" priority="16" operator="lessThan">
      <formula>0.8</formula>
    </cfRule>
  </conditionalFormatting>
  <conditionalFormatting sqref="AG19 R19">
    <cfRule type="cellIs" dxfId="358" priority="18" operator="lessThan">
      <formula>0.8</formula>
    </cfRule>
  </conditionalFormatting>
  <conditionalFormatting sqref="O20">
    <cfRule type="cellIs" dxfId="357" priority="9" operator="greaterThan">
      <formula>0</formula>
    </cfRule>
  </conditionalFormatting>
  <conditionalFormatting sqref="P20">
    <cfRule type="cellIs" dxfId="356" priority="12" operator="lessThan">
      <formula>0</formula>
    </cfRule>
  </conditionalFormatting>
  <conditionalFormatting sqref="Q20">
    <cfRule type="cellIs" dxfId="355" priority="10" operator="greaterThan">
      <formula>1</formula>
    </cfRule>
    <cfRule type="cellIs" dxfId="354" priority="11" operator="lessThan">
      <formula>0.8</formula>
    </cfRule>
  </conditionalFormatting>
  <conditionalFormatting sqref="AG20 R20">
    <cfRule type="cellIs" dxfId="353" priority="13" operator="lessThan">
      <formula>0.8</formula>
    </cfRule>
  </conditionalFormatting>
  <conditionalFormatting sqref="P7">
    <cfRule type="cellIs" dxfId="352" priority="8" operator="lessThan">
      <formula>0</formula>
    </cfRule>
  </conditionalFormatting>
  <conditionalFormatting sqref="P21">
    <cfRule type="cellIs" dxfId="351" priority="7" operator="lessThan">
      <formula>0</formula>
    </cfRule>
  </conditionalFormatting>
  <conditionalFormatting sqref="P28">
    <cfRule type="cellIs" dxfId="350" priority="6" operator="lessThan">
      <formula>0</formula>
    </cfRule>
  </conditionalFormatting>
  <conditionalFormatting sqref="P36">
    <cfRule type="cellIs" dxfId="349" priority="5" operator="lessThan">
      <formula>0</formula>
    </cfRule>
  </conditionalFormatting>
  <conditionalFormatting sqref="P47">
    <cfRule type="cellIs" dxfId="348" priority="4" operator="lessThan">
      <formula>0</formula>
    </cfRule>
  </conditionalFormatting>
  <conditionalFormatting sqref="P55">
    <cfRule type="cellIs" dxfId="347" priority="3" operator="lessThan">
      <formula>0</formula>
    </cfRule>
  </conditionalFormatting>
  <conditionalFormatting sqref="P60">
    <cfRule type="cellIs" dxfId="346" priority="2" operator="lessThan">
      <formula>0</formula>
    </cfRule>
  </conditionalFormatting>
  <conditionalFormatting sqref="P68">
    <cfRule type="cellIs" dxfId="345" priority="1" operator="lessThan">
      <formula>0</formula>
    </cfRule>
  </conditionalFormatting>
  <dataValidations count="1">
    <dataValidation type="list" allowBlank="1" showInputMessage="1" showErrorMessage="1" sqref="AB7 AA5:AB6 AA7:AA59 AB9:AB56 AA60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4" sqref="A14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472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473</v>
      </c>
      <c r="C3" s="594" t="str">
        <f>TEXT('0705 4度C'!A2,"yyyy.mm.ddaaaa")</f>
        <v>2026.07.05星期日</v>
      </c>
      <c r="D3" s="595"/>
      <c r="E3" s="36" t="s">
        <v>474</v>
      </c>
      <c r="F3" s="596">
        <f>'0705 4度C'!D1</f>
        <v>192369</v>
      </c>
      <c r="G3" s="597"/>
      <c r="H3" s="36" t="s">
        <v>475</v>
      </c>
      <c r="I3" s="598">
        <f>'0705 4度C'!F1</f>
        <v>6491614.4499999993</v>
      </c>
      <c r="J3" s="599"/>
      <c r="K3" s="37"/>
      <c r="L3" s="38"/>
      <c r="M3" s="39"/>
      <c r="N3" s="39"/>
    </row>
    <row r="4" spans="2:17" ht="28.5" customHeight="1">
      <c r="B4" s="600" t="s">
        <v>476</v>
      </c>
      <c r="C4" s="586" t="s">
        <v>477</v>
      </c>
      <c r="D4" s="587"/>
      <c r="E4" s="603" t="s">
        <v>478</v>
      </c>
      <c r="F4" s="604"/>
      <c r="G4" s="603" t="s">
        <v>479</v>
      </c>
      <c r="H4" s="604"/>
      <c r="I4" s="603" t="s">
        <v>480</v>
      </c>
      <c r="J4" s="604"/>
      <c r="K4" s="584" t="s">
        <v>481</v>
      </c>
      <c r="L4" s="585"/>
      <c r="M4" s="585" t="s">
        <v>482</v>
      </c>
      <c r="N4" s="585"/>
    </row>
    <row r="5" spans="2:17" ht="28.5" customHeight="1">
      <c r="B5" s="601"/>
      <c r="C5" s="586" t="s">
        <v>483</v>
      </c>
      <c r="D5" s="587"/>
      <c r="E5" s="586" t="s">
        <v>484</v>
      </c>
      <c r="F5" s="587"/>
      <c r="G5" s="588" t="s">
        <v>485</v>
      </c>
      <c r="H5" s="589"/>
      <c r="I5" s="590" t="s">
        <v>486</v>
      </c>
      <c r="J5" s="591"/>
      <c r="K5" s="40" t="s">
        <v>487</v>
      </c>
      <c r="L5" s="41" t="s">
        <v>488</v>
      </c>
      <c r="M5" s="40" t="s">
        <v>487</v>
      </c>
      <c r="N5" s="41" t="s">
        <v>208</v>
      </c>
    </row>
    <row r="6" spans="2:17" ht="28.5" customHeight="1">
      <c r="B6" s="601"/>
      <c r="C6" s="586" t="s">
        <v>41</v>
      </c>
      <c r="D6" s="587"/>
      <c r="E6" s="578">
        <f>AVERAGE(D13:M13)</f>
        <v>158.59549693282165</v>
      </c>
      <c r="F6" s="579">
        <f>AVERAGE(D31:O31,D13:J13)</f>
        <v>167.29934943938665</v>
      </c>
      <c r="G6" s="580">
        <f>AVERAGE(D13:J13)</f>
        <v>167.29934943938665</v>
      </c>
      <c r="H6" s="581"/>
      <c r="I6" s="580">
        <f>AVERAGE(K13:M13)</f>
        <v>138.28650775083668</v>
      </c>
      <c r="J6" s="581"/>
      <c r="K6" s="582">
        <f>'0705 4度C'!Y2</f>
        <v>0</v>
      </c>
      <c r="L6" s="567">
        <f>'0705 4度C'!Z2</f>
        <v>0</v>
      </c>
      <c r="M6" s="583">
        <f>'0705 4度C'!AC2</f>
        <v>57</v>
      </c>
      <c r="N6" s="567">
        <f>'0705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151.71956313089817</v>
      </c>
      <c r="F7" s="571">
        <f>AVERAGE(D32:O32,D14:J14)</f>
        <v>160.05438405953532</v>
      </c>
      <c r="G7" s="572">
        <f>AVERAGE(D14:J14)</f>
        <v>160.05438405953532</v>
      </c>
      <c r="H7" s="573"/>
      <c r="I7" s="572">
        <f>AVERAGE(K14:M14)</f>
        <v>132.27164763074475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0.95671300777641777</v>
      </c>
      <c r="F8" s="575">
        <f>AVERAGE(D15:J15,D33:O33)</f>
        <v>0.95682251512634509</v>
      </c>
      <c r="G8" s="576">
        <f>AVERAGE(D15:J15)</f>
        <v>0.95682251512634509</v>
      </c>
      <c r="H8" s="577"/>
      <c r="I8" s="576">
        <f>AVERAGE(K15:M15)</f>
        <v>0.95645749062658758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102</v>
      </c>
      <c r="N9" s="39"/>
      <c r="O9" s="39"/>
      <c r="P9" s="39"/>
      <c r="Q9" s="39"/>
    </row>
    <row r="10" spans="2:17" ht="30" customHeight="1">
      <c r="B10" s="550" t="s">
        <v>489</v>
      </c>
      <c r="C10" s="551"/>
      <c r="D10" s="552" t="s">
        <v>490</v>
      </c>
      <c r="E10" s="553"/>
      <c r="F10" s="553"/>
      <c r="G10" s="553"/>
      <c r="H10" s="553"/>
      <c r="I10" s="553"/>
      <c r="J10" s="554"/>
      <c r="K10" s="555" t="s">
        <v>491</v>
      </c>
      <c r="L10" s="556"/>
      <c r="M10" s="557"/>
      <c r="P10" s="45"/>
      <c r="Q10" s="45"/>
    </row>
    <row r="11" spans="2:17" ht="17.25" customHeight="1">
      <c r="B11" s="558" t="s">
        <v>492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142</v>
      </c>
      <c r="C13" s="52" t="s">
        <v>493</v>
      </c>
      <c r="D13" s="53">
        <f>SUMIFS('0705 4度C'!$K:$K,'0705 4度C'!$A:$A,"新豐6線",'0705 4度C'!$B:$B,"平均")</f>
        <v>129.03225806451613</v>
      </c>
      <c r="E13" s="54">
        <f>SUMIFS('0705 4度C'!$K:$K,'0705 4度C'!$A:$A,"新豐2線",'0705 4度C'!$B:$B,"平均")</f>
        <v>90.361445783132524</v>
      </c>
      <c r="F13" s="55">
        <f>SUMIFS('0705 4度C'!$K:$K,'0705 4度C'!$A:$A,"新豐5線",'0705 4度C'!$B:$B,"平均")</f>
        <v>87.719298245614041</v>
      </c>
      <c r="G13" s="55">
        <f>SUMIFS('0705 4度C'!$K:$K,'0705 4度C'!$A:$A,"新豐7線",'0705 4度C'!$B:$B,"平均")</f>
        <v>119.99999999999999</v>
      </c>
      <c r="H13" s="55">
        <f>SUMIFS('0705 4度C'!$K:$K,'0705 4度C'!$A:$A,"新豐3線",'0705 4度C'!$B:$B,"平均")</f>
        <v>300</v>
      </c>
      <c r="I13" s="55">
        <f>SUMIFS('0705 4度C'!$K:$K,'0705 4度C'!$A:$A,"新豐1線",'0705 4度C'!$B:$B,"平均")</f>
        <v>119.65811965811965</v>
      </c>
      <c r="J13" s="56">
        <f>SUMIFS('0705 4度C'!$K:$K,'0705 4度C'!$A:$A,"新豐10線",'0705 4度C'!$B:$B,"平均")</f>
        <v>324.32432432432432</v>
      </c>
      <c r="K13" s="57">
        <f>SUMIFS('0705 4度C'!$K:$K,'0705 4度C'!$A:$A,"新豐8線",'0705 4度C'!$B:$B,"平均")</f>
        <v>135.21126760563379</v>
      </c>
      <c r="L13" s="58">
        <f>SUMIFS('0705 4度C'!$K:$K,'0705 4度C'!$A:$A,"新豐9線",'0705 4度C'!$B:$B,"平均")</f>
        <v>128.46715328467153</v>
      </c>
      <c r="M13" s="56">
        <f>SUMIFS('0705 4度C'!$K:$K,'0705 4度C'!$A:$A,"新豐4線",'0705 4度C'!$B:$B,"平均")</f>
        <v>151.18110236220471</v>
      </c>
    </row>
    <row r="14" spans="2:17" ht="39.6" customHeight="1">
      <c r="B14" s="563"/>
      <c r="C14" s="59" t="s">
        <v>312</v>
      </c>
      <c r="D14" s="60">
        <f>SUMIFS('0705 4度C'!$N:$N,'0705 4度C'!$A:$A,"新豐6線",'0705 4度C'!$B:$B,"平均")</f>
        <v>123.72993705743505</v>
      </c>
      <c r="E14" s="61">
        <f>SUMIFS('0705 4度C'!$N:$N,'0705 4度C'!$A:$A,"新豐2線",'0705 4度C'!$B:$B,"平均")</f>
        <v>86.301375076940474</v>
      </c>
      <c r="F14" s="61">
        <f>SUMIFS('0705 4度C'!$N:$N,'0705 4度C'!$A:$A,"新豐5線",'0705 4度C'!$B:$B,"平均")</f>
        <v>84.140140815932639</v>
      </c>
      <c r="G14" s="61">
        <f>SUMIFS('0705 4度C'!$N:$N,'0705 4度C'!$A:$A,"新豐7線",'0705 4度C'!$B:$B,"平均")</f>
        <v>114.46186354711143</v>
      </c>
      <c r="H14" s="61">
        <f>SUMIFS('0705 4度C'!$N:$N,'0705 4度C'!$A:$A,"新豐3線",'0705 4度C'!$B:$B,"平均")</f>
        <v>286.26325520171935</v>
      </c>
      <c r="I14" s="61">
        <f>SUMIFS('0705 4度C'!$N:$N,'0705 4度C'!$A:$A,"新豐1線",'0705 4度C'!$B:$B,"平均")</f>
        <v>114.64489973751628</v>
      </c>
      <c r="J14" s="62">
        <f>SUMIFS('0705 4度C'!$N:$N,'0705 4度C'!$A:$A,"新豐10線",'0705 4度C'!$B:$B,"平均")</f>
        <v>310.83921698009198</v>
      </c>
      <c r="K14" s="63">
        <f>SUMIFS('0705 4度C'!$N:$N,'0705 4度C'!$A:$A,"新豐8線",'0705 4度C'!$B:$B,"平均")</f>
        <v>129.33625731986103</v>
      </c>
      <c r="L14" s="64">
        <f>SUMIFS('0705 4度C'!$N:$N,'0705 4度C'!$A:$A,"新豐9線",'0705 4度C'!$B:$B,"平均")</f>
        <v>122.75509466711502</v>
      </c>
      <c r="M14" s="62">
        <f>SUMIFS('0705 4度C'!$N:$N,'0705 4度C'!$A:$A,"新豐4線",'0705 4度C'!$B:$B,"平均")</f>
        <v>144.72359090525825</v>
      </c>
    </row>
    <row r="15" spans="2:17" ht="40.15" customHeight="1">
      <c r="B15" s="564"/>
      <c r="C15" s="65" t="s">
        <v>494</v>
      </c>
      <c r="D15" s="66">
        <f t="shared" ref="D15:M15" si="0">D14/D13</f>
        <v>0.95890701219512164</v>
      </c>
      <c r="E15" s="67">
        <f t="shared" si="0"/>
        <v>0.95506855085147468</v>
      </c>
      <c r="F15" s="67">
        <f t="shared" si="0"/>
        <v>0.95919760530163201</v>
      </c>
      <c r="G15" s="67">
        <f t="shared" si="0"/>
        <v>0.95384886289259541</v>
      </c>
      <c r="H15" s="67">
        <f t="shared" si="0"/>
        <v>0.95421085067239786</v>
      </c>
      <c r="I15" s="67">
        <f t="shared" si="0"/>
        <v>0.9581038049492433</v>
      </c>
      <c r="J15" s="68">
        <f t="shared" si="0"/>
        <v>0.95842091902195026</v>
      </c>
      <c r="K15" s="66">
        <f t="shared" si="0"/>
        <v>0.95654940309480563</v>
      </c>
      <c r="L15" s="67">
        <f t="shared" si="0"/>
        <v>0.95553681644288402</v>
      </c>
      <c r="M15" s="68">
        <f t="shared" si="0"/>
        <v>0.95728625234207287</v>
      </c>
    </row>
    <row r="16" spans="2:17" ht="17.25" customHeight="1">
      <c r="B16" s="565" t="s">
        <v>495</v>
      </c>
      <c r="C16" s="69" t="s">
        <v>496</v>
      </c>
      <c r="D16" s="70">
        <f>VLOOKUP("新豐6線",'0705 4度C'!$A:$T,19,0)</f>
        <v>0.70833333333333337</v>
      </c>
      <c r="E16" s="71">
        <f>VLOOKUP("新豐2線",'0705 4度C'!$A:$T,19,0)</f>
        <v>8.3333333333333329E-2</v>
      </c>
      <c r="F16" s="71">
        <f>VLOOKUP("新豐5線",'0705 4度C'!$A:$T,19,0)</f>
        <v>8.3333333333333329E-2</v>
      </c>
      <c r="G16" s="71">
        <f>VLOOKUP("新豐7線",'0705 4度C'!$A:$T,19,0)</f>
        <v>0.20833333333333334</v>
      </c>
      <c r="H16" s="71">
        <f>VLOOKUP("新豐3線",'0705 4度C'!$A:$T,19,0)</f>
        <v>0.20833333333333334</v>
      </c>
      <c r="I16" s="71">
        <f>VLOOKUP("新豐1線",'0705 4度C'!$A:$T,19,0)</f>
        <v>0.20833333333333334</v>
      </c>
      <c r="J16" s="72">
        <f>VLOOKUP("新豐10線",'0705 4度C'!$A:$T,19,0)</f>
        <v>0.20833333333333334</v>
      </c>
      <c r="K16" s="73">
        <f>VLOOKUP("新豐8線",'0705 4度C'!$A:$T,19,0)</f>
        <v>8.3333333333333329E-2</v>
      </c>
      <c r="L16" s="74">
        <f>VLOOKUP("新豐9線",'0705 4度C'!$A:$T,19,0)</f>
        <v>8.3333333333333329E-2</v>
      </c>
      <c r="M16" s="75">
        <f>VLOOKUP("新豐4線",'0705 4度C'!$A:$T,19,0)</f>
        <v>8.3333333333333329E-2</v>
      </c>
    </row>
    <row r="17" spans="2:13" ht="17.25" customHeight="1">
      <c r="B17" s="566"/>
      <c r="C17" s="69" t="s">
        <v>497</v>
      </c>
      <c r="D17" s="73">
        <f>LOOKUP(2,1/(('0705 4度C'!$A:$A="新豐6線")*('0705 4度C'!$T:$T&lt;&gt;"")),'0705 4度C'!$T:$T)</f>
        <v>0.82430555555555562</v>
      </c>
      <c r="E17" s="71">
        <f>LOOKUP(2,1/(('0705 4度C'!$A:$A="新豐2線")*('0705 4度C'!$T:$T&lt;&gt;"")),'0705 4度C'!$T:$T)</f>
        <v>0.6875</v>
      </c>
      <c r="F17" s="71">
        <f>LOOKUP(2,1/(('0705 4度C'!$A:$A="新豐5線")*('0705 4度C'!$T:$T&lt;&gt;"")),'0705 4度C'!$T:$T)</f>
        <v>0.78402777777777777</v>
      </c>
      <c r="G17" s="71">
        <f>LOOKUP(2,1/(('0705 4度C'!$A:$A="新豐7線")*('0705 4度C'!$T:$T&lt;&gt;"")),'0705 4度C'!$T:$T)</f>
        <v>0.83680555555555558</v>
      </c>
      <c r="H17" s="71">
        <f>LOOKUP(2,1/(('0705 4度C'!$A:$A="新豐3線")*('0705 4度C'!$T:$T&lt;&gt;"")),'0705 4度C'!$T:$T)</f>
        <v>0.45555555555555555</v>
      </c>
      <c r="I17" s="71">
        <f>LOOKUP(2,1/(('0705 4度C'!$A:$A="新豐1線")*('0705 4度C'!$T:$T&lt;&gt;"")),'0705 4度C'!$T:$T)</f>
        <v>0.84652777777777777</v>
      </c>
      <c r="J17" s="72">
        <f>LOOKUP(2,1/(('0705 4度C'!$A:$A="新豐10線")*('0705 4度C'!$T:$T&lt;&gt;"")),'0705 4度C'!$T:$T)</f>
        <v>0.42986111111111108</v>
      </c>
      <c r="K17" s="70">
        <f>LOOKUP(2,1/(('0705 4度C'!$A:$A="新豐8線")*('0705 4度C'!$T:$T&lt;&gt;"")),'0705 4度C'!$T:$T)</f>
        <v>0.7451388888888888</v>
      </c>
      <c r="L17" s="71">
        <f>LOOKUP(2,1/(('0705 4度C'!$A:$A="新豐9線")*('0705 4度C'!$T:$T&lt;&gt;"")),'0705 4度C'!$T:$T)</f>
        <v>0.75763888888888886</v>
      </c>
      <c r="M17" s="72">
        <f>LOOKUP(2,1/(('0705 4度C'!$A:$A="新豐4線")*('0705 4度C'!$T:$T&lt;&gt;"")),'0705 4度C'!$T:$T)</f>
        <v>0.73819444444444438</v>
      </c>
    </row>
    <row r="18" spans="2:13" ht="17.25" customHeight="1">
      <c r="B18" s="544" t="s">
        <v>498</v>
      </c>
      <c r="C18" s="76" t="s">
        <v>499</v>
      </c>
      <c r="D18" s="77">
        <f>SUMIFS('0705 4度C'!$Y:$Y,'0705 4度C'!$A:$A,"新豐6線",'0705 4度C'!$B:$B,"平均")</f>
        <v>0</v>
      </c>
      <c r="E18" s="78">
        <f>SUMIFS('0705 4度C'!$Y:$Y,'0705 4度C'!$A:$A,"新豐2線",'0705 4度C'!$B:$B,"平均")</f>
        <v>0</v>
      </c>
      <c r="F18" s="78">
        <f>SUMIFS('0705 4度C'!$Y:$Y,'0705 4度C'!$A:$A,"新豐5線",'0705 4度C'!$B:$B,"平均")</f>
        <v>0</v>
      </c>
      <c r="G18" s="78">
        <f>SUMIFS('0705 4度C'!$Y:$Y,'0705 4度C'!$A:$A,"新豐7線",'0705 4度C'!$B:$B,"平均")</f>
        <v>0</v>
      </c>
      <c r="H18" s="78">
        <f>SUMIFS('0705 4度C'!$Y:$Y,'0705 4度C'!$A:$A,"新豐3線",'0705 4度C'!$B:$B,"平均")</f>
        <v>0</v>
      </c>
      <c r="I18" s="78">
        <f>SUMIFS('0705 4度C'!$Y:$Y,'0705 4度C'!$A:$A,"新豐1線",'0705 4度C'!$B:$B,"平均")</f>
        <v>0</v>
      </c>
      <c r="J18" s="79">
        <f>SUMIFS('0705 4度C'!$Y:$Y,'0705 4度C'!$A:$A,"新豐10線",'0705 4度C'!$B:$B,"平均")</f>
        <v>0</v>
      </c>
      <c r="K18" s="80">
        <f>SUMIFS('0705 4度C'!$Y:$Y,'0705 4度C'!$A:$A,"新豐8線",'0705 4度C'!$B:$B,"平均")</f>
        <v>0</v>
      </c>
      <c r="L18" s="78">
        <f>SUMIFS('0705 4度C'!$Y:$Y,'0705 4度C'!$A:$A,"新豐9線",'0705 4度C'!$B:$B,"平均")</f>
        <v>0</v>
      </c>
      <c r="M18" s="79">
        <f>SUMIFS('0705 4度C'!$Y:$Y,'0705 4度C'!$A:$A,"新豐4線",'0705 4度C'!$B:$B,"平均")</f>
        <v>0</v>
      </c>
    </row>
    <row r="19" spans="2:13" ht="17.25" customHeight="1">
      <c r="B19" s="545"/>
      <c r="C19" s="76" t="s">
        <v>500</v>
      </c>
      <c r="D19" s="77">
        <f>SUMIFS('0705 4度C'!$Z:$Z,'0705 4度C'!$A:$A,"新豐6線",'0705 4度C'!$B:$B,"平均")</f>
        <v>0</v>
      </c>
      <c r="E19" s="78">
        <f>SUMIFS('0705 4度C'!$Z:$Z,'0705 4度C'!$A:$A,"新豐2線",'0705 4度C'!$B:$B,"平均")</f>
        <v>0</v>
      </c>
      <c r="F19" s="78">
        <f>SUMIFS('0705 4度C'!$Z:$Z,'0705 4度C'!$A:$A,"新豐5線",'0705 4度C'!$B:$B,"平均")</f>
        <v>0</v>
      </c>
      <c r="G19" s="78">
        <f>SUMIFS('0705 4度C'!$Z:$Z,'0705 4度C'!$A:$A,"新豐7線",'0705 4度C'!$B:$B,"平均")</f>
        <v>0</v>
      </c>
      <c r="H19" s="78">
        <f>SUMIFS('0705 4度C'!$Z:$Z,'0705 4度C'!$A:$A,"新豐3線",'0705 4度C'!$B:$B,"平均")</f>
        <v>0</v>
      </c>
      <c r="I19" s="78">
        <f>SUMIFS('0705 4度C'!$Z:$Z,'0705 4度C'!$A:$A,"新豐1線",'0705 4度C'!$B:$B,"平均")</f>
        <v>0</v>
      </c>
      <c r="J19" s="79">
        <f>SUMIFS('0705 4度C'!$Z:$Z,'0705 4度C'!$A:$A,"新豐10線",'0705 4度C'!$B:$B,"平均")</f>
        <v>0</v>
      </c>
      <c r="K19" s="80">
        <f>SUMIFS('0705 4度C'!$Z:$Z,'0705 4度C'!$A:$A,"新豐8線",'0705 4度C'!$B:$B,"平均")</f>
        <v>0</v>
      </c>
      <c r="L19" s="78">
        <f>SUMIFS('0705 4度C'!$Z:$Z,'0705 4度C'!$A:$A,"新豐9線",'0705 4度C'!$B:$B,"平均")</f>
        <v>0</v>
      </c>
      <c r="M19" s="79">
        <f>SUMIFS('0705 4度C'!$Z:$Z,'0705 4度C'!$A:$A,"新豐4線",'0705 4度C'!$B:$B,"平均")</f>
        <v>0</v>
      </c>
    </row>
    <row r="20" spans="2:13" ht="17.25" customHeight="1">
      <c r="B20" s="544" t="s">
        <v>501</v>
      </c>
      <c r="C20" s="76" t="s">
        <v>502</v>
      </c>
      <c r="D20" s="77">
        <f>SUMIFS('0705 4度C'!$AC:$AC,'0705 4度C'!$A:$A,"新豐6線",'0705 4度C'!$B:$B,"平均")</f>
        <v>2</v>
      </c>
      <c r="E20" s="78">
        <f>SUMIFS('0705 4度C'!$AC:$AC,'0705 4度C'!$A:$A,"新豐2線",'0705 4度C'!$B:$B,"平均")</f>
        <v>5</v>
      </c>
      <c r="F20" s="78">
        <f>SUMIFS('0705 4度C'!$AC:$AC,'0705 4度C'!$A:$A,"新豐5線",'0705 4度C'!$B:$B,"平均")</f>
        <v>6</v>
      </c>
      <c r="G20" s="78">
        <f>SUMIFS('0705 4度C'!$AC:$AC,'0705 4度C'!$A:$A,"新豐7線",'0705 4度C'!$B:$B,"平均")</f>
        <v>6</v>
      </c>
      <c r="H20" s="78">
        <f>SUMIFS('0705 4度C'!$AC:$AC,'0705 4度C'!$A:$A,"新豐3線",'0705 4度C'!$B:$B,"平均")</f>
        <v>3</v>
      </c>
      <c r="I20" s="78">
        <f>SUMIFS('0705 4度C'!$AC:$AC,'0705 4度C'!$A:$A,"新豐1線",'0705 4度C'!$B:$B,"平均")</f>
        <v>7</v>
      </c>
      <c r="J20" s="79">
        <f>SUMIFS('0705 4度C'!$AC:$AC,'0705 4度C'!$A:$A,"新豐10線",'0705 4度C'!$B:$B,"平均")</f>
        <v>4</v>
      </c>
      <c r="K20" s="80">
        <f>SUMIFS('0705 4度C'!$AC:$AC,'0705 4度C'!$A:$A,"新豐8線",'0705 4度C'!$B:$B,"平均")</f>
        <v>8</v>
      </c>
      <c r="L20" s="78">
        <f>SUMIFS('0705 4度C'!$AC:$AC,'0705 4度C'!$A:$A,"新豐9線",'0705 4度C'!$B:$B,"平均")</f>
        <v>8</v>
      </c>
      <c r="M20" s="79">
        <f>SUMIFS('0705 4度C'!$AC:$AC,'0705 4度C'!$A:$A,"新豐4線",'0705 4度C'!$B:$B,"平均")</f>
        <v>8</v>
      </c>
    </row>
    <row r="21" spans="2:13" ht="17.25" customHeight="1">
      <c r="B21" s="545"/>
      <c r="C21" s="76" t="s">
        <v>503</v>
      </c>
      <c r="D21" s="77">
        <f>SUMIFS('0705 4度C'!$AD:$AD,'0705 4度C'!$A:$A,"新豐6線",'0705 4度C'!$B:$B,"平均")</f>
        <v>0</v>
      </c>
      <c r="E21" s="78">
        <f>SUMIFS('0705 4度C'!$AD:$AD,'0705 4度C'!$A:$A,"新豐2線",'0705 4度C'!$B:$B,"平均")</f>
        <v>0</v>
      </c>
      <c r="F21" s="78">
        <f>SUMIFS('0705 4度C'!$AD:$AD,'0705 4度C'!$A:$A,"新豐5線",'0705 4度C'!$B:$B,"平均")</f>
        <v>0</v>
      </c>
      <c r="G21" s="78">
        <f>SUMIFS('0705 4度C'!$AD:$AD,'0705 4度C'!$A:$A,"新豐7線",'0705 4度C'!$B:$B,"平均")</f>
        <v>0</v>
      </c>
      <c r="H21" s="78">
        <f>SUMIFS('0705 4度C'!$AD:$AD,'0705 4度C'!$A:$A,"新豐3線",'0705 4度C'!$B:$B,"平均")</f>
        <v>0</v>
      </c>
      <c r="I21" s="78">
        <f>SUMIFS('0705 4度C'!$AD:$AD,'0705 4度C'!$A:$A,"新豐1線",'0705 4度C'!$B:$B,"平均")</f>
        <v>0</v>
      </c>
      <c r="J21" s="79">
        <f>SUMIFS('0705 4度C'!$AD:$AD,'0705 4度C'!$A:$A,"新豐10線",'0705 4度C'!$B:$B,"平均")</f>
        <v>0</v>
      </c>
      <c r="K21" s="80">
        <f>SUMIFS('0705 4度C'!$AD:$AD,'0705 4度C'!$A:$A,"新豐8線",'0705 4度C'!$B:$B,"平均")</f>
        <v>0</v>
      </c>
      <c r="L21" s="78">
        <f>SUMIFS('0705 4度C'!$AD:$AD,'0705 4度C'!$A:$A,"新豐9線",'0705 4度C'!$B:$B,"平均")</f>
        <v>0</v>
      </c>
      <c r="M21" s="79">
        <f>SUMIFS('0705 4度C'!$AD:$AD,'0705 4度C'!$A:$A,"新豐4線",'0705 4度C'!$B:$B,"平均")</f>
        <v>0</v>
      </c>
    </row>
    <row r="22" spans="2:13" ht="17.25" customHeight="1">
      <c r="B22" s="546" t="s">
        <v>504</v>
      </c>
      <c r="C22" s="547"/>
      <c r="D22" s="81">
        <f>SUMIFS('0705 4度C'!$I:$I,'0705 4度C'!$A:$A,"新豐6線",'0705 4度C'!$B:$B,"平均")</f>
        <v>15.5</v>
      </c>
      <c r="E22" s="82">
        <f>SUMIFS('0705 4度C'!$I:$I,'0705 4度C'!$A:$A,"新豐2線",'0705 4度C'!$B:$B,"平均")</f>
        <v>16.600000000000001</v>
      </c>
      <c r="F22" s="82">
        <f>SUMIFS('0705 4度C'!$I:$I,'0705 4度C'!$A:$A,"新豐5線",'0705 4度C'!$B:$B,"平均")</f>
        <v>19</v>
      </c>
      <c r="G22" s="82">
        <f>SUMIFS('0705 4度C'!$I:$I,'0705 4度C'!$A:$A,"新豐7線",'0705 4度C'!$B:$B,"平均")</f>
        <v>16.666666666666668</v>
      </c>
      <c r="H22" s="82">
        <f>SUMIFS('0705 4度C'!$I:$I,'0705 4度C'!$A:$A,"新豐3線",'0705 4度C'!$B:$B,"平均")</f>
        <v>10</v>
      </c>
      <c r="I22" s="82">
        <f>SUMIFS('0705 4度C'!$I:$I,'0705 4度C'!$A:$A,"新豐1線",'0705 4度C'!$B:$B,"平均")</f>
        <v>16.714285714285715</v>
      </c>
      <c r="J22" s="83">
        <f>SUMIFS('0705 4度C'!$I:$I,'0705 4度C'!$A:$A,"新豐10線",'0705 4度C'!$B:$B,"平均")</f>
        <v>9.25</v>
      </c>
      <c r="K22" s="81">
        <f>SUMIFS('0705 4度C'!$I:$I,'0705 4度C'!$A:$A,"新豐8線",'0705 4度C'!$B:$B,"平均")</f>
        <v>17.75</v>
      </c>
      <c r="L22" s="82">
        <f>SUMIFS('0705 4度C'!$I:$I,'0705 4度C'!$A:$A,"新豐9線",'0705 4度C'!$B:$B,"平均")</f>
        <v>17.125</v>
      </c>
      <c r="M22" s="83">
        <f>SUMIFS('0705 4度C'!$I:$I,'0705 4度C'!$A:$A,"新豐4線",'0705 4度C'!$B:$B,"平均")</f>
        <v>15.875</v>
      </c>
    </row>
    <row r="23" spans="2:13" ht="17.25" customHeight="1">
      <c r="B23" s="546" t="s">
        <v>505</v>
      </c>
      <c r="C23" s="547"/>
      <c r="D23" s="84" t="s">
        <v>54</v>
      </c>
      <c r="E23" s="85" t="s">
        <v>55</v>
      </c>
      <c r="F23" s="85" t="s">
        <v>506</v>
      </c>
      <c r="G23" s="85" t="s">
        <v>506</v>
      </c>
      <c r="H23" s="85" t="s">
        <v>56</v>
      </c>
      <c r="I23" s="85" t="s">
        <v>54</v>
      </c>
      <c r="J23" s="86" t="s">
        <v>56</v>
      </c>
      <c r="K23" s="84" t="s">
        <v>507</v>
      </c>
      <c r="L23" s="85" t="s">
        <v>508</v>
      </c>
      <c r="M23" s="86" t="s">
        <v>508</v>
      </c>
    </row>
    <row r="24" spans="2:13" ht="17.25" customHeight="1">
      <c r="B24" s="546" t="s">
        <v>509</v>
      </c>
      <c r="C24" s="547"/>
      <c r="D24" s="84"/>
      <c r="E24" s="85"/>
      <c r="F24" s="85" t="s">
        <v>510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511</v>
      </c>
      <c r="C25" s="549"/>
      <c r="D25" s="87"/>
      <c r="E25" s="88" t="s">
        <v>512</v>
      </c>
      <c r="F25" s="542" t="s">
        <v>513</v>
      </c>
      <c r="G25" s="543"/>
      <c r="H25" s="88" t="s">
        <v>514</v>
      </c>
      <c r="I25" s="88" t="s">
        <v>515</v>
      </c>
      <c r="J25" s="89" t="s">
        <v>514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2"/>
  <sheetViews>
    <sheetView zoomScale="80" zoomScaleNormal="80" workbookViewId="0">
      <pane ySplit="4" topLeftCell="A38" activePane="bottomLeft" state="frozen"/>
      <selection activeCell="A14" sqref="A14"/>
      <selection pane="bottomLeft" activeCell="A14" sqref="A1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516</v>
      </c>
      <c r="B1" s="1"/>
      <c r="C1" s="2" t="s">
        <v>517</v>
      </c>
      <c r="D1" s="3">
        <f>SUM(F5:F71)</f>
        <v>192369</v>
      </c>
      <c r="E1" s="151" t="s">
        <v>518</v>
      </c>
      <c r="F1" s="1">
        <f>SUM(G5:G71)</f>
        <v>6491614.4499999993</v>
      </c>
      <c r="G1" s="1" t="s">
        <v>519</v>
      </c>
      <c r="H1" s="4">
        <f>L7+L13+L49+L57+L20+L62+L36+L45+L27+L71</f>
        <v>154.48095238095237</v>
      </c>
      <c r="I1" s="654" t="s">
        <v>520</v>
      </c>
      <c r="J1" s="654"/>
      <c r="K1" s="654"/>
      <c r="L1" s="654" t="s">
        <v>521</v>
      </c>
      <c r="M1" s="654"/>
      <c r="N1" s="654"/>
      <c r="O1" s="654" t="s">
        <v>522</v>
      </c>
      <c r="P1" s="654"/>
      <c r="Q1" s="654"/>
      <c r="R1" s="654"/>
      <c r="S1" s="654" t="s">
        <v>523</v>
      </c>
      <c r="T1" s="654"/>
      <c r="U1" s="654"/>
      <c r="V1" s="654"/>
      <c r="W1" s="654"/>
      <c r="X1" s="654"/>
      <c r="Y1" s="5" t="s">
        <v>524</v>
      </c>
      <c r="Z1" s="6" t="s">
        <v>525</v>
      </c>
      <c r="AA1" s="655" t="s">
        <v>526</v>
      </c>
      <c r="AB1" s="655"/>
      <c r="AC1" s="92" t="s">
        <v>524</v>
      </c>
      <c r="AD1" s="6" t="s">
        <v>527</v>
      </c>
      <c r="AE1" s="654" t="s">
        <v>528</v>
      </c>
      <c r="AF1" s="656"/>
      <c r="AG1" s="656"/>
    </row>
    <row r="2" spans="1:33" ht="26.25" customHeight="1">
      <c r="A2" s="25">
        <v>46208</v>
      </c>
      <c r="B2" s="26" t="s">
        <v>471</v>
      </c>
      <c r="C2" s="2" t="s">
        <v>529</v>
      </c>
      <c r="D2" s="8">
        <f>AVERAGE(N7,N13,N49,N57,N20,N62,N27,N36,N45,N71)</f>
        <v>151.71956313089817</v>
      </c>
      <c r="E2" s="9" t="s">
        <v>0</v>
      </c>
      <c r="F2" s="10">
        <f>F1/D1</f>
        <v>33.745637030914537</v>
      </c>
      <c r="G2" s="1" t="s">
        <v>530</v>
      </c>
      <c r="H2" s="162">
        <f>COUNT(H5:H71)</f>
        <v>11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SUM(Y7+Y13+Y20+Y27+Y36+Y45+Y49+Y57+Y62+Y71)</f>
        <v>0</v>
      </c>
      <c r="Z2" s="11">
        <f>SUM(Z7+Z13+Z20+Z27+Z36+Z45+Z49+Z57+Z62+Z71)</f>
        <v>0</v>
      </c>
      <c r="AA2" s="655"/>
      <c r="AB2" s="655"/>
      <c r="AC2" s="11">
        <v>57</v>
      </c>
      <c r="AD2" s="11">
        <f>SUM(AD7+AD13+AD20+AD27+AD36+AD45+AD49+AD57+AD62+AD71)</f>
        <v>0</v>
      </c>
      <c r="AE2" s="656"/>
      <c r="AF2" s="656"/>
      <c r="AG2" s="656"/>
    </row>
    <row r="3" spans="1:33" ht="40.5" customHeight="1">
      <c r="A3" s="612" t="s">
        <v>531</v>
      </c>
      <c r="B3" s="612" t="s">
        <v>532</v>
      </c>
      <c r="C3" s="612" t="s">
        <v>533</v>
      </c>
      <c r="D3" s="612"/>
      <c r="E3" s="652" t="s">
        <v>534</v>
      </c>
      <c r="F3" s="612" t="s">
        <v>535</v>
      </c>
      <c r="G3" s="652" t="s">
        <v>536</v>
      </c>
      <c r="H3" s="645" t="s">
        <v>537</v>
      </c>
      <c r="I3" s="644" t="s">
        <v>538</v>
      </c>
      <c r="J3" s="641" t="s">
        <v>539</v>
      </c>
      <c r="K3" s="650" t="s">
        <v>529</v>
      </c>
      <c r="L3" s="644" t="s">
        <v>538</v>
      </c>
      <c r="M3" s="641" t="s">
        <v>539</v>
      </c>
      <c r="N3" s="650" t="s">
        <v>529</v>
      </c>
      <c r="O3" s="644" t="s">
        <v>538</v>
      </c>
      <c r="P3" s="650" t="s">
        <v>529</v>
      </c>
      <c r="Q3" s="642" t="s">
        <v>540</v>
      </c>
      <c r="R3" s="621" t="s">
        <v>541</v>
      </c>
      <c r="S3" s="651" t="s">
        <v>1</v>
      </c>
      <c r="T3" s="651"/>
      <c r="U3" s="645" t="s">
        <v>2</v>
      </c>
      <c r="V3" s="645" t="s">
        <v>542</v>
      </c>
      <c r="W3" s="612" t="s">
        <v>543</v>
      </c>
      <c r="X3" s="612"/>
      <c r="Y3" s="646" t="s">
        <v>544</v>
      </c>
      <c r="Z3" s="611"/>
      <c r="AA3" s="647" t="s">
        <v>545</v>
      </c>
      <c r="AB3" s="648"/>
      <c r="AC3" s="646" t="s">
        <v>546</v>
      </c>
      <c r="AD3" s="611"/>
      <c r="AE3" s="641" t="s">
        <v>547</v>
      </c>
      <c r="AF3" s="642" t="s">
        <v>548</v>
      </c>
      <c r="AG3" s="621" t="s">
        <v>541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61" t="s">
        <v>3</v>
      </c>
      <c r="T4" s="161" t="s">
        <v>4</v>
      </c>
      <c r="U4" s="645"/>
      <c r="V4" s="645"/>
      <c r="W4" s="151" t="s">
        <v>549</v>
      </c>
      <c r="X4" s="151" t="s">
        <v>550</v>
      </c>
      <c r="Y4" s="154" t="s">
        <v>551</v>
      </c>
      <c r="Z4" s="154" t="s">
        <v>552</v>
      </c>
      <c r="AA4" s="649"/>
      <c r="AB4" s="648"/>
      <c r="AC4" s="154" t="s">
        <v>553</v>
      </c>
      <c r="AD4" s="154" t="s">
        <v>554</v>
      </c>
      <c r="AE4" s="641"/>
      <c r="AF4" s="642"/>
      <c r="AG4" s="621"/>
    </row>
    <row r="5" spans="1:33">
      <c r="A5" s="643" t="s">
        <v>555</v>
      </c>
      <c r="B5" s="27" t="s">
        <v>5</v>
      </c>
      <c r="C5" s="657" t="s">
        <v>14</v>
      </c>
      <c r="D5" s="657"/>
      <c r="E5" s="27">
        <v>50.92</v>
      </c>
      <c r="F5" s="161">
        <v>2561</v>
      </c>
      <c r="G5" s="151">
        <f t="shared" ref="G5:G6" si="0">E5*F5</f>
        <v>130406.12000000001</v>
      </c>
      <c r="H5" s="31" t="s">
        <v>40</v>
      </c>
      <c r="I5" s="159">
        <v>15</v>
      </c>
      <c r="J5" s="29">
        <v>2000</v>
      </c>
      <c r="K5" s="12">
        <f t="shared" ref="K5:K68" si="1">J5/I5</f>
        <v>133.33333333333334</v>
      </c>
      <c r="L5" s="159">
        <v>15</v>
      </c>
      <c r="M5" s="13">
        <f t="shared" ref="M5:M6" si="2">F5/V5*60</f>
        <v>1920.7499999999993</v>
      </c>
      <c r="N5" s="12">
        <f t="shared" ref="N5:N68" si="3">M5/L5</f>
        <v>128.04999999999995</v>
      </c>
      <c r="O5" s="14">
        <f t="shared" ref="O5:O68" si="4">L5-I5</f>
        <v>0</v>
      </c>
      <c r="P5" s="15">
        <f t="shared" ref="P5:P68" si="5">N5-K5</f>
        <v>-5.2833333333333883</v>
      </c>
      <c r="Q5" s="150">
        <f t="shared" ref="Q5:Q68" si="6">N5/K5</f>
        <v>0.96037499999999965</v>
      </c>
      <c r="R5" s="616">
        <f>Q7</f>
        <v>0.95890701219512164</v>
      </c>
      <c r="S5" s="32">
        <v>0.70833333333333337</v>
      </c>
      <c r="T5" s="32">
        <v>0.76388888888888895</v>
      </c>
      <c r="U5" s="151"/>
      <c r="V5" s="160">
        <f t="shared" ref="V5:V6" si="7">(T5-S5)*24*60</f>
        <v>80.000000000000028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6" si="8">M5-J5</f>
        <v>-79.250000000000682</v>
      </c>
      <c r="AF5" s="150">
        <f t="shared" ref="AF5:AF68" si="9">M5/J5</f>
        <v>0.96037499999999965</v>
      </c>
      <c r="AG5" s="616">
        <f>AF7</f>
        <v>0.95890701219512164</v>
      </c>
    </row>
    <row r="6" spans="1:33">
      <c r="A6" s="644" t="s">
        <v>555</v>
      </c>
      <c r="B6" s="27" t="s">
        <v>5</v>
      </c>
      <c r="C6" s="657" t="s">
        <v>19</v>
      </c>
      <c r="D6" s="657"/>
      <c r="E6" s="27">
        <v>50.98</v>
      </c>
      <c r="F6" s="161">
        <v>2617</v>
      </c>
      <c r="G6" s="151">
        <f t="shared" si="0"/>
        <v>133414.66</v>
      </c>
      <c r="H6" s="31" t="s">
        <v>40</v>
      </c>
      <c r="I6" s="159">
        <v>16</v>
      </c>
      <c r="J6" s="29">
        <v>2000</v>
      </c>
      <c r="K6" s="12">
        <f t="shared" si="1"/>
        <v>125</v>
      </c>
      <c r="L6" s="159">
        <v>16</v>
      </c>
      <c r="M6" s="13">
        <f t="shared" si="2"/>
        <v>1914.8780487804872</v>
      </c>
      <c r="N6" s="12">
        <f t="shared" si="3"/>
        <v>119.67987804878045</v>
      </c>
      <c r="O6" s="14">
        <f t="shared" si="4"/>
        <v>0</v>
      </c>
      <c r="P6" s="15">
        <f t="shared" si="5"/>
        <v>-5.3201219512195479</v>
      </c>
      <c r="Q6" s="150">
        <f t="shared" si="6"/>
        <v>0.95743902439024364</v>
      </c>
      <c r="R6" s="616"/>
      <c r="S6" s="32">
        <v>0.76736111111111116</v>
      </c>
      <c r="T6" s="32">
        <v>0.82430555555555562</v>
      </c>
      <c r="U6" s="151">
        <f t="shared" ref="U6" si="10">IF(S6=TIME(17,0,0),"",(S6-T5)*24*60)</f>
        <v>4.9999999999999822</v>
      </c>
      <c r="V6" s="160">
        <f t="shared" si="7"/>
        <v>82.000000000000028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-85.121951219512766</v>
      </c>
      <c r="AF6" s="150">
        <f t="shared" si="9"/>
        <v>0.95743902439024364</v>
      </c>
      <c r="AG6" s="616"/>
    </row>
    <row r="7" spans="1:33">
      <c r="A7" s="644" t="s">
        <v>555</v>
      </c>
      <c r="B7" s="27" t="s">
        <v>556</v>
      </c>
      <c r="C7" s="658"/>
      <c r="D7" s="658"/>
      <c r="E7" s="153"/>
      <c r="F7" s="28"/>
      <c r="G7" s="12"/>
      <c r="H7" s="161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1917.8140243902433</v>
      </c>
      <c r="N7" s="12">
        <f t="shared" si="3"/>
        <v>123.72993705743505</v>
      </c>
      <c r="O7" s="14">
        <f t="shared" si="4"/>
        <v>0</v>
      </c>
      <c r="P7" s="15">
        <f t="shared" si="5"/>
        <v>-5.3023210070810762</v>
      </c>
      <c r="Q7" s="150">
        <f t="shared" si="6"/>
        <v>0.95890701219512164</v>
      </c>
      <c r="R7" s="616"/>
      <c r="S7" s="32"/>
      <c r="T7" s="32"/>
      <c r="U7" s="151"/>
      <c r="V7" s="160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-82.185975609756724</v>
      </c>
      <c r="AF7" s="150">
        <f t="shared" si="9"/>
        <v>0.95890701219512164</v>
      </c>
      <c r="AG7" s="616"/>
    </row>
    <row r="8" spans="1:33" ht="15.75" customHeight="1">
      <c r="A8" s="640" t="s">
        <v>557</v>
      </c>
      <c r="B8" s="27" t="s">
        <v>8</v>
      </c>
      <c r="C8" s="638" t="s">
        <v>9</v>
      </c>
      <c r="D8" s="639"/>
      <c r="E8" s="27">
        <v>39.619999999999997</v>
      </c>
      <c r="F8" s="161">
        <v>5540</v>
      </c>
      <c r="G8" s="151">
        <f t="shared" ref="G8:G12" si="11">E8*F8</f>
        <v>219494.8</v>
      </c>
      <c r="H8" s="31" t="s">
        <v>40</v>
      </c>
      <c r="I8" s="159">
        <v>19</v>
      </c>
      <c r="J8" s="29">
        <v>1500</v>
      </c>
      <c r="K8" s="12">
        <f t="shared" si="1"/>
        <v>78.94736842105263</v>
      </c>
      <c r="L8" s="159">
        <v>19</v>
      </c>
      <c r="M8" s="13">
        <f t="shared" ref="M8:M12" si="12">F8/V8*60</f>
        <v>1426.6094420600855</v>
      </c>
      <c r="N8" s="12">
        <f t="shared" si="3"/>
        <v>75.084707476846603</v>
      </c>
      <c r="O8" s="14">
        <f t="shared" si="4"/>
        <v>0</v>
      </c>
      <c r="P8" s="15">
        <f t="shared" si="5"/>
        <v>-3.8626609442060271</v>
      </c>
      <c r="Q8" s="150">
        <f t="shared" si="6"/>
        <v>0.95107296137339037</v>
      </c>
      <c r="R8" s="616">
        <f>Q13</f>
        <v>0.95506855085147468</v>
      </c>
      <c r="S8" s="32">
        <v>8.3333333333333329E-2</v>
      </c>
      <c r="T8" s="32">
        <v>0.24513888888888891</v>
      </c>
      <c r="U8" s="151"/>
      <c r="V8" s="160">
        <f t="shared" ref="V8:V12" si="13">(T8-S8)*24*60</f>
        <v>233.00000000000006</v>
      </c>
      <c r="W8" s="16">
        <f>T8</f>
        <v>0.24513888888888891</v>
      </c>
      <c r="X8" s="16">
        <f>S9</f>
        <v>0.26666666666666666</v>
      </c>
      <c r="Y8" s="16"/>
      <c r="Z8" s="16"/>
      <c r="AA8" s="612"/>
      <c r="AB8" s="612"/>
      <c r="AC8" s="18">
        <v>5</v>
      </c>
      <c r="AD8" s="18"/>
      <c r="AE8" s="14">
        <f t="shared" si="8"/>
        <v>-73.390557939914515</v>
      </c>
      <c r="AF8" s="150">
        <f t="shared" si="9"/>
        <v>0.95107296137339037</v>
      </c>
      <c r="AG8" s="616">
        <f>AF13</f>
        <v>0.95506855085147468</v>
      </c>
    </row>
    <row r="9" spans="1:33" ht="15.75" customHeight="1">
      <c r="A9" s="640" t="s">
        <v>557</v>
      </c>
      <c r="B9" s="27" t="s">
        <v>8</v>
      </c>
      <c r="C9" s="638" t="s">
        <v>63</v>
      </c>
      <c r="D9" s="639"/>
      <c r="E9" s="27">
        <v>39.46</v>
      </c>
      <c r="F9" s="161">
        <v>2600</v>
      </c>
      <c r="G9" s="151">
        <f t="shared" si="11"/>
        <v>102596</v>
      </c>
      <c r="H9" s="31">
        <v>2</v>
      </c>
      <c r="I9" s="159">
        <v>15</v>
      </c>
      <c r="J9" s="29">
        <v>1500</v>
      </c>
      <c r="K9" s="12">
        <f t="shared" si="1"/>
        <v>100</v>
      </c>
      <c r="L9" s="159">
        <v>15</v>
      </c>
      <c r="M9" s="13">
        <f t="shared" si="12"/>
        <v>1431.1926605504586</v>
      </c>
      <c r="N9" s="12">
        <f t="shared" si="3"/>
        <v>95.412844036697237</v>
      </c>
      <c r="O9" s="14">
        <f t="shared" si="4"/>
        <v>0</v>
      </c>
      <c r="P9" s="15">
        <f t="shared" si="5"/>
        <v>-4.587155963302763</v>
      </c>
      <c r="Q9" s="150">
        <f t="shared" si="6"/>
        <v>0.95412844036697242</v>
      </c>
      <c r="R9" s="616"/>
      <c r="S9" s="32">
        <v>0.26666666666666666</v>
      </c>
      <c r="T9" s="32">
        <v>0.34236111111111112</v>
      </c>
      <c r="U9" s="151">
        <f t="shared" ref="U9:U12" si="14">IF(S9=TIME(17,0,0),"",(S9-T8)*24*60)</f>
        <v>30.999999999999972</v>
      </c>
      <c r="V9" s="160">
        <f t="shared" si="13"/>
        <v>109.00000000000001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-68.807339449541359</v>
      </c>
      <c r="AF9" s="150">
        <f t="shared" si="9"/>
        <v>0.95412844036697242</v>
      </c>
      <c r="AG9" s="616"/>
    </row>
    <row r="10" spans="1:33" ht="15.75" customHeight="1">
      <c r="A10" s="640" t="s">
        <v>557</v>
      </c>
      <c r="B10" s="27" t="s">
        <v>8</v>
      </c>
      <c r="C10" s="638" t="s">
        <v>10</v>
      </c>
      <c r="D10" s="639"/>
      <c r="E10" s="27">
        <v>39.799999999999997</v>
      </c>
      <c r="F10" s="161">
        <v>4500</v>
      </c>
      <c r="G10" s="151">
        <f t="shared" si="11"/>
        <v>179100</v>
      </c>
      <c r="H10" s="31">
        <v>2</v>
      </c>
      <c r="I10" s="159">
        <v>17</v>
      </c>
      <c r="J10" s="29">
        <v>1500</v>
      </c>
      <c r="K10" s="12">
        <f t="shared" si="1"/>
        <v>88.235294117647058</v>
      </c>
      <c r="L10" s="159">
        <v>17</v>
      </c>
      <c r="M10" s="13">
        <f t="shared" si="12"/>
        <v>1436.1702127659578</v>
      </c>
      <c r="N10" s="12">
        <f t="shared" si="3"/>
        <v>84.480600750938692</v>
      </c>
      <c r="O10" s="14">
        <f t="shared" si="4"/>
        <v>0</v>
      </c>
      <c r="P10" s="15">
        <f t="shared" si="5"/>
        <v>-3.7546933667083664</v>
      </c>
      <c r="Q10" s="150">
        <f t="shared" si="6"/>
        <v>0.95744680851063846</v>
      </c>
      <c r="R10" s="616"/>
      <c r="S10" s="32">
        <v>0.34722222222222221</v>
      </c>
      <c r="T10" s="32">
        <v>0.47777777777777775</v>
      </c>
      <c r="U10" s="151">
        <f t="shared" si="14"/>
        <v>6.9999999999999751</v>
      </c>
      <c r="V10" s="160">
        <f t="shared" si="13"/>
        <v>187.99999999999997</v>
      </c>
      <c r="W10" s="16">
        <f>T10</f>
        <v>0.47777777777777775</v>
      </c>
      <c r="X10" s="16">
        <f>S11</f>
        <v>0.51874999999999993</v>
      </c>
      <c r="Y10" s="16"/>
      <c r="Z10" s="16"/>
      <c r="AA10" s="612"/>
      <c r="AB10" s="612"/>
      <c r="AC10" s="18"/>
      <c r="AD10" s="18"/>
      <c r="AE10" s="14">
        <f t="shared" si="8"/>
        <v>-63.829787234042215</v>
      </c>
      <c r="AF10" s="150">
        <f t="shared" si="9"/>
        <v>0.95744680851063857</v>
      </c>
      <c r="AG10" s="616"/>
    </row>
    <row r="11" spans="1:33" ht="15.75" customHeight="1">
      <c r="A11" s="640" t="s">
        <v>557</v>
      </c>
      <c r="B11" s="27" t="s">
        <v>8</v>
      </c>
      <c r="C11" s="638" t="s">
        <v>10</v>
      </c>
      <c r="D11" s="639"/>
      <c r="E11" s="27">
        <v>39.799999999999997</v>
      </c>
      <c r="F11" s="161">
        <v>3707</v>
      </c>
      <c r="G11" s="151">
        <f t="shared" si="11"/>
        <v>147538.59999999998</v>
      </c>
      <c r="H11" s="31" t="s">
        <v>40</v>
      </c>
      <c r="I11" s="159">
        <v>17</v>
      </c>
      <c r="J11" s="29">
        <v>1500</v>
      </c>
      <c r="K11" s="12">
        <f t="shared" si="1"/>
        <v>88.235294117647058</v>
      </c>
      <c r="L11" s="159">
        <v>17</v>
      </c>
      <c r="M11" s="13">
        <f t="shared" si="12"/>
        <v>1434.9677419354832</v>
      </c>
      <c r="N11" s="12">
        <f t="shared" si="3"/>
        <v>84.40986717267549</v>
      </c>
      <c r="O11" s="14">
        <f t="shared" si="4"/>
        <v>0</v>
      </c>
      <c r="P11" s="15">
        <f t="shared" si="5"/>
        <v>-3.8254269449715679</v>
      </c>
      <c r="Q11" s="150">
        <f t="shared" si="6"/>
        <v>0.95664516129032218</v>
      </c>
      <c r="R11" s="616"/>
      <c r="S11" s="32">
        <v>0.51874999999999993</v>
      </c>
      <c r="T11" s="32">
        <v>0.62638888888888888</v>
      </c>
      <c r="U11" s="151">
        <f t="shared" si="14"/>
        <v>58.99999999999995</v>
      </c>
      <c r="V11" s="160">
        <f t="shared" si="13"/>
        <v>155.00000000000009</v>
      </c>
      <c r="W11" s="16"/>
      <c r="X11" s="16"/>
      <c r="Y11" s="16"/>
      <c r="Z11" s="16"/>
      <c r="AA11" s="607"/>
      <c r="AB11" s="608"/>
      <c r="AC11" s="18"/>
      <c r="AD11" s="18"/>
      <c r="AE11" s="14">
        <f t="shared" si="8"/>
        <v>-65.032258064516782</v>
      </c>
      <c r="AF11" s="150">
        <f t="shared" si="9"/>
        <v>0.95664516129032218</v>
      </c>
      <c r="AG11" s="616"/>
    </row>
    <row r="12" spans="1:33" ht="15.75" customHeight="1">
      <c r="A12" s="640" t="s">
        <v>557</v>
      </c>
      <c r="B12" s="27" t="s">
        <v>8</v>
      </c>
      <c r="C12" s="638" t="s">
        <v>63</v>
      </c>
      <c r="D12" s="639"/>
      <c r="E12" s="27">
        <v>39.46</v>
      </c>
      <c r="F12" s="161">
        <v>1936</v>
      </c>
      <c r="G12" s="151">
        <f t="shared" si="11"/>
        <v>76394.559999999998</v>
      </c>
      <c r="H12" s="31" t="s">
        <v>40</v>
      </c>
      <c r="I12" s="159">
        <v>15</v>
      </c>
      <c r="J12" s="29">
        <v>1500</v>
      </c>
      <c r="K12" s="12">
        <f t="shared" si="1"/>
        <v>100</v>
      </c>
      <c r="L12" s="159">
        <v>15</v>
      </c>
      <c r="M12" s="13">
        <f t="shared" si="12"/>
        <v>1434.0740740740737</v>
      </c>
      <c r="N12" s="12">
        <f t="shared" si="3"/>
        <v>95.604938271604908</v>
      </c>
      <c r="O12" s="14">
        <f t="shared" si="4"/>
        <v>0</v>
      </c>
      <c r="P12" s="15">
        <f t="shared" si="5"/>
        <v>-4.3950617283950919</v>
      </c>
      <c r="Q12" s="150">
        <f t="shared" si="6"/>
        <v>0.95604938271604911</v>
      </c>
      <c r="R12" s="616"/>
      <c r="S12" s="32">
        <v>0.63124999999999998</v>
      </c>
      <c r="T12" s="32">
        <v>0.6875</v>
      </c>
      <c r="U12" s="151">
        <f t="shared" si="14"/>
        <v>6.9999999999999751</v>
      </c>
      <c r="V12" s="160">
        <f t="shared" si="13"/>
        <v>81.000000000000028</v>
      </c>
      <c r="W12" s="16"/>
      <c r="X12" s="16"/>
      <c r="Y12" s="19"/>
      <c r="Z12" s="19"/>
      <c r="AA12" s="607"/>
      <c r="AB12" s="608"/>
      <c r="AC12" s="18"/>
      <c r="AD12" s="18"/>
      <c r="AE12" s="14">
        <f t="shared" si="8"/>
        <v>-65.925925925926322</v>
      </c>
      <c r="AF12" s="150">
        <f t="shared" si="9"/>
        <v>0.95604938271604911</v>
      </c>
      <c r="AG12" s="616"/>
    </row>
    <row r="13" spans="1:33" ht="16.5" customHeight="1">
      <c r="A13" s="640" t="s">
        <v>557</v>
      </c>
      <c r="B13" s="27" t="s">
        <v>556</v>
      </c>
      <c r="C13" s="658"/>
      <c r="D13" s="658"/>
      <c r="E13" s="153"/>
      <c r="F13" s="29"/>
      <c r="G13" s="13"/>
      <c r="H13" s="161"/>
      <c r="I13" s="21">
        <v>16.600000000000001</v>
      </c>
      <c r="J13" s="29">
        <v>1500</v>
      </c>
      <c r="K13" s="12">
        <f t="shared" si="1"/>
        <v>90.361445783132524</v>
      </c>
      <c r="L13" s="21">
        <v>16.600000000000001</v>
      </c>
      <c r="M13" s="13">
        <f>AVERAGE(M8:M12)</f>
        <v>1432.602826277212</v>
      </c>
      <c r="N13" s="12">
        <f t="shared" si="3"/>
        <v>86.301375076940474</v>
      </c>
      <c r="O13" s="14">
        <f t="shared" si="4"/>
        <v>0</v>
      </c>
      <c r="P13" s="15">
        <f t="shared" si="5"/>
        <v>-4.0600707061920502</v>
      </c>
      <c r="Q13" s="150">
        <f t="shared" si="6"/>
        <v>0.95506855085147468</v>
      </c>
      <c r="R13" s="616"/>
      <c r="S13" s="32"/>
      <c r="T13" s="32"/>
      <c r="U13" s="12"/>
      <c r="V13" s="160"/>
      <c r="W13" s="12"/>
      <c r="X13" s="12"/>
      <c r="Y13" s="22">
        <f>SUM(Y8:Y12)</f>
        <v>0</v>
      </c>
      <c r="Z13" s="22">
        <f>SUM(Z8:Z12)</f>
        <v>0</v>
      </c>
      <c r="AA13" s="611"/>
      <c r="AB13" s="611"/>
      <c r="AC13" s="22">
        <v>5</v>
      </c>
      <c r="AD13" s="22">
        <f>SUM(AD8:AD12)</f>
        <v>0</v>
      </c>
      <c r="AE13" s="14">
        <f t="shared" si="8"/>
        <v>-67.397173722788011</v>
      </c>
      <c r="AF13" s="150">
        <f t="shared" si="9"/>
        <v>0.95506855085147468</v>
      </c>
      <c r="AG13" s="616"/>
    </row>
    <row r="14" spans="1:33" ht="16.5" customHeight="1">
      <c r="A14" s="636" t="s">
        <v>558</v>
      </c>
      <c r="B14" s="161" t="s">
        <v>11</v>
      </c>
      <c r="C14" s="659" t="s">
        <v>67</v>
      </c>
      <c r="D14" s="659"/>
      <c r="E14" s="27">
        <v>38.619999999999997</v>
      </c>
      <c r="F14" s="161">
        <v>2239</v>
      </c>
      <c r="G14" s="151">
        <f t="shared" ref="G14:G19" si="15">E14*F14</f>
        <v>86470.18</v>
      </c>
      <c r="H14" s="31" t="s">
        <v>40</v>
      </c>
      <c r="I14" s="159">
        <v>24</v>
      </c>
      <c r="J14" s="29">
        <v>1500</v>
      </c>
      <c r="K14" s="12">
        <f t="shared" si="1"/>
        <v>62.5</v>
      </c>
      <c r="L14" s="159">
        <v>24</v>
      </c>
      <c r="M14" s="13">
        <f t="shared" ref="M14:M19" si="16">F14/V14*60</f>
        <v>1444.5161290322578</v>
      </c>
      <c r="N14" s="12">
        <f t="shared" si="3"/>
        <v>60.188172043010745</v>
      </c>
      <c r="O14" s="14">
        <f t="shared" si="4"/>
        <v>0</v>
      </c>
      <c r="P14" s="15">
        <f t="shared" si="5"/>
        <v>-2.311827956989255</v>
      </c>
      <c r="Q14" s="150">
        <f t="shared" si="6"/>
        <v>0.96301075268817193</v>
      </c>
      <c r="R14" s="616">
        <f>Q20</f>
        <v>0.95919760530163201</v>
      </c>
      <c r="S14" s="32">
        <v>8.3333333333333329E-2</v>
      </c>
      <c r="T14" s="32">
        <v>0.14791666666666667</v>
      </c>
      <c r="U14" s="151"/>
      <c r="V14" s="160">
        <f t="shared" ref="V14:V19" si="17">(T14-S14)*24*60</f>
        <v>93.000000000000014</v>
      </c>
      <c r="W14" s="16">
        <f>T14</f>
        <v>0.14791666666666667</v>
      </c>
      <c r="X14" s="16">
        <f>S15</f>
        <v>0.16666666666666669</v>
      </c>
      <c r="Y14" s="20"/>
      <c r="Z14" s="20"/>
      <c r="AA14" s="612"/>
      <c r="AB14" s="612"/>
      <c r="AC14" s="18">
        <v>6</v>
      </c>
      <c r="AD14" s="18"/>
      <c r="AE14" s="14">
        <f t="shared" si="8"/>
        <v>-55.483870967742178</v>
      </c>
      <c r="AF14" s="150">
        <f t="shared" si="9"/>
        <v>0.96301075268817193</v>
      </c>
      <c r="AG14" s="616">
        <f>AF20</f>
        <v>0.95919760530163201</v>
      </c>
    </row>
    <row r="15" spans="1:33" ht="16.5" customHeight="1">
      <c r="A15" s="637" t="s">
        <v>558</v>
      </c>
      <c r="B15" s="161" t="s">
        <v>11</v>
      </c>
      <c r="C15" s="659" t="s">
        <v>12</v>
      </c>
      <c r="D15" s="659"/>
      <c r="E15" s="27">
        <v>41</v>
      </c>
      <c r="F15" s="161">
        <v>2075</v>
      </c>
      <c r="G15" s="151">
        <f t="shared" si="15"/>
        <v>85075</v>
      </c>
      <c r="H15" s="31" t="s">
        <v>40</v>
      </c>
      <c r="I15" s="159">
        <v>26</v>
      </c>
      <c r="J15" s="29">
        <v>1500</v>
      </c>
      <c r="K15" s="12">
        <f t="shared" si="1"/>
        <v>57.692307692307693</v>
      </c>
      <c r="L15" s="159">
        <v>26</v>
      </c>
      <c r="M15" s="13">
        <f t="shared" si="16"/>
        <v>1431.0344827586205</v>
      </c>
      <c r="N15" s="12">
        <f t="shared" si="3"/>
        <v>55.039787798408483</v>
      </c>
      <c r="O15" s="14">
        <f t="shared" si="4"/>
        <v>0</v>
      </c>
      <c r="P15" s="15">
        <f t="shared" si="5"/>
        <v>-2.6525198938992105</v>
      </c>
      <c r="Q15" s="150">
        <f t="shared" si="6"/>
        <v>0.95402298850574707</v>
      </c>
      <c r="R15" s="616"/>
      <c r="S15" s="32">
        <v>0.16666666666666669</v>
      </c>
      <c r="T15" s="32">
        <v>0.22708333333333336</v>
      </c>
      <c r="U15" s="151">
        <f t="shared" ref="U15:U19" si="18">IF(S15=TIME(17,0,0),"",(S15-T14)*24*60)</f>
        <v>27.000000000000025</v>
      </c>
      <c r="V15" s="160">
        <f t="shared" si="17"/>
        <v>87.000000000000014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-68.96551724137953</v>
      </c>
      <c r="AF15" s="150">
        <f t="shared" si="9"/>
        <v>0.95402298850574696</v>
      </c>
      <c r="AG15" s="616"/>
    </row>
    <row r="16" spans="1:33" ht="16.5" customHeight="1">
      <c r="A16" s="637" t="s">
        <v>558</v>
      </c>
      <c r="B16" s="161" t="s">
        <v>5</v>
      </c>
      <c r="C16" s="659" t="s">
        <v>66</v>
      </c>
      <c r="D16" s="659"/>
      <c r="E16" s="27">
        <v>37.03</v>
      </c>
      <c r="F16" s="161">
        <v>3680</v>
      </c>
      <c r="G16" s="151">
        <f t="shared" si="15"/>
        <v>136270.39999999999</v>
      </c>
      <c r="H16" s="31" t="s">
        <v>40</v>
      </c>
      <c r="I16" s="159">
        <v>13</v>
      </c>
      <c r="J16" s="29">
        <v>1500</v>
      </c>
      <c r="K16" s="12">
        <f t="shared" si="1"/>
        <v>115.38461538461539</v>
      </c>
      <c r="L16" s="159">
        <v>13</v>
      </c>
      <c r="M16" s="13">
        <f t="shared" si="16"/>
        <v>1433.7662337662337</v>
      </c>
      <c r="N16" s="12">
        <f t="shared" si="3"/>
        <v>110.28971028971029</v>
      </c>
      <c r="O16" s="14">
        <f t="shared" si="4"/>
        <v>0</v>
      </c>
      <c r="P16" s="15">
        <f t="shared" si="5"/>
        <v>-5.0949050949051014</v>
      </c>
      <c r="Q16" s="150">
        <f t="shared" si="6"/>
        <v>0.95584415584415583</v>
      </c>
      <c r="R16" s="616"/>
      <c r="S16" s="32">
        <v>0.23263888888888892</v>
      </c>
      <c r="T16" s="32">
        <v>0.33958333333333335</v>
      </c>
      <c r="U16" s="151">
        <f t="shared" si="18"/>
        <v>8.0000000000000107</v>
      </c>
      <c r="V16" s="160">
        <f t="shared" si="17"/>
        <v>154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-66.233766233766346</v>
      </c>
      <c r="AF16" s="150">
        <f t="shared" si="9"/>
        <v>0.95584415584415572</v>
      </c>
      <c r="AG16" s="616"/>
    </row>
    <row r="17" spans="1:33" ht="16.5" customHeight="1">
      <c r="A17" s="637" t="s">
        <v>558</v>
      </c>
      <c r="B17" s="161" t="s">
        <v>8</v>
      </c>
      <c r="C17" s="659" t="s">
        <v>74</v>
      </c>
      <c r="D17" s="659"/>
      <c r="E17" s="27">
        <v>39.520000000000003</v>
      </c>
      <c r="F17" s="161">
        <v>3418</v>
      </c>
      <c r="G17" s="151">
        <f t="shared" si="15"/>
        <v>135079.36000000002</v>
      </c>
      <c r="H17" s="31" t="s">
        <v>40</v>
      </c>
      <c r="I17" s="159">
        <v>19</v>
      </c>
      <c r="J17" s="29">
        <v>1500</v>
      </c>
      <c r="K17" s="12">
        <f t="shared" si="1"/>
        <v>78.94736842105263</v>
      </c>
      <c r="L17" s="159">
        <v>19</v>
      </c>
      <c r="M17" s="13">
        <f t="shared" si="16"/>
        <v>1434.1258741258744</v>
      </c>
      <c r="N17" s="12">
        <f t="shared" si="3"/>
        <v>75.48030916451971</v>
      </c>
      <c r="O17" s="14">
        <f t="shared" si="4"/>
        <v>0</v>
      </c>
      <c r="P17" s="15">
        <f t="shared" si="5"/>
        <v>-3.4670592565329201</v>
      </c>
      <c r="Q17" s="150">
        <f t="shared" si="6"/>
        <v>0.9560839160839163</v>
      </c>
      <c r="R17" s="616"/>
      <c r="S17" s="32">
        <v>0.34513888888888888</v>
      </c>
      <c r="T17" s="32">
        <v>0.44444444444444442</v>
      </c>
      <c r="U17" s="151">
        <f t="shared" si="18"/>
        <v>7.9999999999999716</v>
      </c>
      <c r="V17" s="160">
        <f t="shared" si="17"/>
        <v>142.99999999999997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-65.874125874125639</v>
      </c>
      <c r="AF17" s="150">
        <f t="shared" si="9"/>
        <v>0.95608391608391619</v>
      </c>
      <c r="AG17" s="616"/>
    </row>
    <row r="18" spans="1:33" ht="16.5" customHeight="1">
      <c r="A18" s="637" t="s">
        <v>558</v>
      </c>
      <c r="B18" s="161" t="s">
        <v>5</v>
      </c>
      <c r="C18" s="659" t="s">
        <v>6</v>
      </c>
      <c r="D18" s="659"/>
      <c r="E18" s="27">
        <v>50.67</v>
      </c>
      <c r="F18" s="161">
        <v>1740</v>
      </c>
      <c r="G18" s="151">
        <f t="shared" si="15"/>
        <v>88165.8</v>
      </c>
      <c r="H18" s="31" t="s">
        <v>40</v>
      </c>
      <c r="I18" s="159">
        <v>17</v>
      </c>
      <c r="J18" s="29">
        <v>2000</v>
      </c>
      <c r="K18" s="12">
        <f t="shared" si="1"/>
        <v>117.64705882352941</v>
      </c>
      <c r="L18" s="159">
        <v>17</v>
      </c>
      <c r="M18" s="13">
        <f t="shared" si="16"/>
        <v>1933.3333333333342</v>
      </c>
      <c r="N18" s="12">
        <f t="shared" si="3"/>
        <v>113.72549019607848</v>
      </c>
      <c r="O18" s="14">
        <f t="shared" si="4"/>
        <v>0</v>
      </c>
      <c r="P18" s="15">
        <f t="shared" si="5"/>
        <v>-3.9215686274509238</v>
      </c>
      <c r="Q18" s="150">
        <f t="shared" si="6"/>
        <v>0.96666666666666712</v>
      </c>
      <c r="R18" s="616"/>
      <c r="S18" s="32">
        <v>0.70833333333333337</v>
      </c>
      <c r="T18" s="32">
        <v>0.74583333333333335</v>
      </c>
      <c r="U18" s="151" t="str">
        <f t="shared" si="18"/>
        <v/>
      </c>
      <c r="V18" s="160">
        <f t="shared" si="17"/>
        <v>53.999999999999972</v>
      </c>
      <c r="W18" s="16"/>
      <c r="X18" s="16"/>
      <c r="Y18" s="16"/>
      <c r="Z18" s="16"/>
      <c r="AA18" s="612"/>
      <c r="AB18" s="612"/>
      <c r="AC18" s="18"/>
      <c r="AD18" s="18"/>
      <c r="AE18" s="14">
        <f t="shared" si="8"/>
        <v>-66.666666666665833</v>
      </c>
      <c r="AF18" s="150">
        <f t="shared" si="9"/>
        <v>0.96666666666666712</v>
      </c>
      <c r="AG18" s="616"/>
    </row>
    <row r="19" spans="1:33" ht="16.5" customHeight="1">
      <c r="A19" s="637" t="s">
        <v>558</v>
      </c>
      <c r="B19" s="161" t="s">
        <v>5</v>
      </c>
      <c r="C19" s="106" t="s">
        <v>7</v>
      </c>
      <c r="D19" s="107"/>
      <c r="E19" s="27">
        <v>50.67</v>
      </c>
      <c r="F19" s="161">
        <v>1596</v>
      </c>
      <c r="G19" s="151">
        <f t="shared" si="15"/>
        <v>80869.320000000007</v>
      </c>
      <c r="H19" s="31" t="s">
        <v>40</v>
      </c>
      <c r="I19" s="159">
        <v>15</v>
      </c>
      <c r="J19" s="29">
        <v>2000</v>
      </c>
      <c r="K19" s="12">
        <f t="shared" si="1"/>
        <v>133.33333333333334</v>
      </c>
      <c r="L19" s="159">
        <v>15</v>
      </c>
      <c r="M19" s="13">
        <f t="shared" si="16"/>
        <v>1915.2000000000005</v>
      </c>
      <c r="N19" s="12">
        <f t="shared" si="3"/>
        <v>127.68000000000004</v>
      </c>
      <c r="O19" s="14">
        <f t="shared" si="4"/>
        <v>0</v>
      </c>
      <c r="P19" s="15">
        <f t="shared" si="5"/>
        <v>-5.6533333333333076</v>
      </c>
      <c r="Q19" s="150">
        <f t="shared" si="6"/>
        <v>0.95760000000000023</v>
      </c>
      <c r="R19" s="616"/>
      <c r="S19" s="32">
        <v>0.74930555555555556</v>
      </c>
      <c r="T19" s="32">
        <v>0.78402777777777777</v>
      </c>
      <c r="U19" s="151">
        <f t="shared" si="18"/>
        <v>4.9999999999999822</v>
      </c>
      <c r="V19" s="160">
        <f t="shared" si="17"/>
        <v>49.999999999999986</v>
      </c>
      <c r="W19" s="16"/>
      <c r="X19" s="16"/>
      <c r="Y19" s="19"/>
      <c r="Z19" s="19"/>
      <c r="AA19" s="157"/>
      <c r="AB19" s="158"/>
      <c r="AC19" s="18"/>
      <c r="AD19" s="18"/>
      <c r="AE19" s="14">
        <f t="shared" si="8"/>
        <v>-84.7999999999995</v>
      </c>
      <c r="AF19" s="150">
        <f t="shared" si="9"/>
        <v>0.95760000000000023</v>
      </c>
      <c r="AG19" s="616"/>
    </row>
    <row r="20" spans="1:33" ht="16.5" customHeight="1">
      <c r="A20" s="637" t="s">
        <v>558</v>
      </c>
      <c r="B20" s="27" t="s">
        <v>556</v>
      </c>
      <c r="C20" s="658"/>
      <c r="D20" s="658"/>
      <c r="E20" s="153"/>
      <c r="F20" s="28"/>
      <c r="G20" s="12"/>
      <c r="H20" s="161"/>
      <c r="I20" s="21">
        <v>19</v>
      </c>
      <c r="J20" s="29">
        <v>1666.6666666666667</v>
      </c>
      <c r="K20" s="12">
        <f t="shared" si="1"/>
        <v>87.719298245614041</v>
      </c>
      <c r="L20" s="21">
        <v>19</v>
      </c>
      <c r="M20" s="13">
        <f>AVERAGE(M14:M19)</f>
        <v>1598.66267550272</v>
      </c>
      <c r="N20" s="12">
        <f t="shared" si="3"/>
        <v>84.140140815932639</v>
      </c>
      <c r="O20" s="14">
        <f t="shared" si="4"/>
        <v>0</v>
      </c>
      <c r="P20" s="15">
        <f t="shared" si="5"/>
        <v>-3.5791574296814019</v>
      </c>
      <c r="Q20" s="150">
        <f t="shared" si="6"/>
        <v>0.95919760530163201</v>
      </c>
      <c r="R20" s="616"/>
      <c r="S20" s="32"/>
      <c r="T20" s="32"/>
      <c r="U20" s="151"/>
      <c r="V20" s="160"/>
      <c r="W20" s="12"/>
      <c r="X20" s="12"/>
      <c r="Y20" s="22">
        <f>SUM(Y14:Y19)</f>
        <v>0</v>
      </c>
      <c r="Z20" s="22">
        <f>SUM(Z14:Z19)</f>
        <v>0</v>
      </c>
      <c r="AA20" s="611"/>
      <c r="AB20" s="611"/>
      <c r="AC20" s="22">
        <v>6</v>
      </c>
      <c r="AD20" s="22">
        <f>SUM(AD14:AD19)</f>
        <v>0</v>
      </c>
      <c r="AE20" s="14">
        <f t="shared" si="8"/>
        <v>-68.003991163946694</v>
      </c>
      <c r="AF20" s="150">
        <f t="shared" si="9"/>
        <v>0.95919760530163201</v>
      </c>
      <c r="AG20" s="616"/>
    </row>
    <row r="21" spans="1:33" ht="15.75" customHeight="1">
      <c r="A21" s="634" t="s">
        <v>559</v>
      </c>
      <c r="B21" s="27" t="s">
        <v>5</v>
      </c>
      <c r="C21" s="659" t="s">
        <v>16</v>
      </c>
      <c r="D21" s="659"/>
      <c r="E21" s="27">
        <v>50.67</v>
      </c>
      <c r="F21" s="161">
        <v>2222</v>
      </c>
      <c r="G21" s="151">
        <f t="shared" ref="G21:G26" si="19">E21*F21</f>
        <v>112588.74</v>
      </c>
      <c r="H21" s="31" t="s">
        <v>40</v>
      </c>
      <c r="I21" s="159">
        <v>17</v>
      </c>
      <c r="J21" s="29">
        <v>2000</v>
      </c>
      <c r="K21" s="12">
        <f t="shared" si="1"/>
        <v>117.64705882352941</v>
      </c>
      <c r="L21" s="159">
        <v>17</v>
      </c>
      <c r="M21" s="13">
        <f t="shared" ref="M21:M26" si="20">F21/V21*60</f>
        <v>1904.5714285714278</v>
      </c>
      <c r="N21" s="12">
        <f t="shared" si="3"/>
        <v>112.03361344537811</v>
      </c>
      <c r="O21" s="14">
        <f t="shared" si="4"/>
        <v>0</v>
      </c>
      <c r="P21" s="15">
        <f t="shared" si="5"/>
        <v>-5.6134453781512974</v>
      </c>
      <c r="Q21" s="150">
        <f t="shared" si="6"/>
        <v>0.95228571428571396</v>
      </c>
      <c r="R21" s="616">
        <f>Q27</f>
        <v>0.95384886289259541</v>
      </c>
      <c r="S21" s="32">
        <v>0.20833333333333334</v>
      </c>
      <c r="T21" s="32">
        <v>0.25694444444444448</v>
      </c>
      <c r="U21" s="151"/>
      <c r="V21" s="160">
        <f t="shared" ref="V21:V26" si="21">(T21-S21)*24*60</f>
        <v>70.000000000000028</v>
      </c>
      <c r="W21" s="16"/>
      <c r="X21" s="16"/>
      <c r="Y21" s="20"/>
      <c r="Z21" s="20"/>
      <c r="AA21" s="612"/>
      <c r="AB21" s="612"/>
      <c r="AC21" s="18">
        <v>6</v>
      </c>
      <c r="AD21" s="18"/>
      <c r="AE21" s="14">
        <f t="shared" si="8"/>
        <v>-95.428571428572241</v>
      </c>
      <c r="AF21" s="150">
        <f t="shared" si="9"/>
        <v>0.95228571428571385</v>
      </c>
      <c r="AG21" s="616">
        <f>AF27</f>
        <v>0.9538488628925953</v>
      </c>
    </row>
    <row r="22" spans="1:33" ht="15.75" customHeight="1">
      <c r="A22" s="635" t="s">
        <v>559</v>
      </c>
      <c r="B22" s="27" t="s">
        <v>5</v>
      </c>
      <c r="C22" s="659" t="s">
        <v>17</v>
      </c>
      <c r="D22" s="659"/>
      <c r="E22" s="27">
        <v>57.73</v>
      </c>
      <c r="F22" s="161">
        <v>2799</v>
      </c>
      <c r="G22" s="151">
        <f t="shared" si="19"/>
        <v>161586.26999999999</v>
      </c>
      <c r="H22" s="31" t="s">
        <v>40</v>
      </c>
      <c r="I22" s="159">
        <v>14</v>
      </c>
      <c r="J22" s="29">
        <v>2000</v>
      </c>
      <c r="K22" s="12">
        <f t="shared" si="1"/>
        <v>142.85714285714286</v>
      </c>
      <c r="L22" s="159">
        <v>14</v>
      </c>
      <c r="M22" s="13">
        <f t="shared" si="20"/>
        <v>1908.409090909091</v>
      </c>
      <c r="N22" s="12">
        <f t="shared" si="3"/>
        <v>136.31493506493507</v>
      </c>
      <c r="O22" s="14">
        <f t="shared" si="4"/>
        <v>0</v>
      </c>
      <c r="P22" s="15">
        <f t="shared" si="5"/>
        <v>-6.5422077922077904</v>
      </c>
      <c r="Q22" s="150">
        <f t="shared" si="6"/>
        <v>0.95420454545454547</v>
      </c>
      <c r="R22" s="616"/>
      <c r="S22" s="32">
        <v>0.26111111111111113</v>
      </c>
      <c r="T22" s="32">
        <v>0.32222222222222224</v>
      </c>
      <c r="U22" s="151">
        <f t="shared" ref="U22:U26" si="22">IF(S22=TIME(17,0,0),"",(S22-T21)*24*60)</f>
        <v>5.9999999999999787</v>
      </c>
      <c r="V22" s="160">
        <f t="shared" si="21"/>
        <v>88</v>
      </c>
      <c r="W22" s="16"/>
      <c r="X22" s="151"/>
      <c r="Y22" s="151"/>
      <c r="Z22" s="151"/>
      <c r="AA22" s="612"/>
      <c r="AB22" s="612"/>
      <c r="AC22" s="18"/>
      <c r="AD22" s="18"/>
      <c r="AE22" s="14">
        <f t="shared" si="8"/>
        <v>-91.590909090909008</v>
      </c>
      <c r="AF22" s="150">
        <f t="shared" si="9"/>
        <v>0.95420454545454547</v>
      </c>
      <c r="AG22" s="616"/>
    </row>
    <row r="23" spans="1:33" ht="15.75" customHeight="1">
      <c r="A23" s="635" t="s">
        <v>559</v>
      </c>
      <c r="B23" s="27" t="s">
        <v>5</v>
      </c>
      <c r="C23" s="659" t="s">
        <v>60</v>
      </c>
      <c r="D23" s="659"/>
      <c r="E23" s="27">
        <v>53.27</v>
      </c>
      <c r="F23" s="161">
        <v>1884</v>
      </c>
      <c r="G23" s="151">
        <f t="shared" si="19"/>
        <v>100360.68000000001</v>
      </c>
      <c r="H23" s="31" t="s">
        <v>40</v>
      </c>
      <c r="I23" s="159">
        <v>16</v>
      </c>
      <c r="J23" s="29">
        <v>2000</v>
      </c>
      <c r="K23" s="12">
        <f t="shared" si="1"/>
        <v>125</v>
      </c>
      <c r="L23" s="159">
        <v>16</v>
      </c>
      <c r="M23" s="13">
        <f t="shared" si="20"/>
        <v>1915.9322033898297</v>
      </c>
      <c r="N23" s="12">
        <f t="shared" si="3"/>
        <v>119.74576271186436</v>
      </c>
      <c r="O23" s="14">
        <f t="shared" si="4"/>
        <v>0</v>
      </c>
      <c r="P23" s="15">
        <f t="shared" si="5"/>
        <v>-5.2542372881356414</v>
      </c>
      <c r="Q23" s="150">
        <f t="shared" si="6"/>
        <v>0.95796610169491492</v>
      </c>
      <c r="R23" s="616"/>
      <c r="S23" s="32">
        <v>0.32569444444444445</v>
      </c>
      <c r="T23" s="32">
        <v>0.3666666666666667</v>
      </c>
      <c r="U23" s="151">
        <f t="shared" si="22"/>
        <v>4.9999999999999822</v>
      </c>
      <c r="V23" s="160">
        <f t="shared" si="21"/>
        <v>59.000000000000028</v>
      </c>
      <c r="W23" s="16"/>
      <c r="X23" s="151"/>
      <c r="Y23" s="151"/>
      <c r="Z23" s="151"/>
      <c r="AA23" s="612"/>
      <c r="AB23" s="612"/>
      <c r="AC23" s="18"/>
      <c r="AD23" s="18"/>
      <c r="AE23" s="14">
        <f t="shared" si="8"/>
        <v>-84.067796610170262</v>
      </c>
      <c r="AF23" s="150">
        <f t="shared" si="9"/>
        <v>0.95796610169491492</v>
      </c>
      <c r="AG23" s="616"/>
    </row>
    <row r="24" spans="1:33" ht="15.75" customHeight="1">
      <c r="A24" s="635" t="s">
        <v>559</v>
      </c>
      <c r="B24" s="27" t="s">
        <v>5</v>
      </c>
      <c r="C24" s="659" t="s">
        <v>81</v>
      </c>
      <c r="D24" s="659"/>
      <c r="E24" s="27">
        <v>51.44</v>
      </c>
      <c r="F24" s="161">
        <v>2284</v>
      </c>
      <c r="G24" s="151">
        <f t="shared" si="19"/>
        <v>117488.95999999999</v>
      </c>
      <c r="H24" s="31" t="s">
        <v>40</v>
      </c>
      <c r="I24" s="159">
        <v>25</v>
      </c>
      <c r="J24" s="29">
        <v>2000</v>
      </c>
      <c r="K24" s="12">
        <f t="shared" si="1"/>
        <v>80</v>
      </c>
      <c r="L24" s="159">
        <v>25</v>
      </c>
      <c r="M24" s="13">
        <f t="shared" si="20"/>
        <v>1903.3333333333337</v>
      </c>
      <c r="N24" s="12">
        <f t="shared" si="3"/>
        <v>76.133333333333354</v>
      </c>
      <c r="O24" s="14">
        <f t="shared" si="4"/>
        <v>0</v>
      </c>
      <c r="P24" s="15">
        <f t="shared" si="5"/>
        <v>-3.8666666666666458</v>
      </c>
      <c r="Q24" s="150">
        <f t="shared" si="6"/>
        <v>0.95166666666666688</v>
      </c>
      <c r="R24" s="616"/>
      <c r="S24" s="32">
        <v>0.37222222222222223</v>
      </c>
      <c r="T24" s="32">
        <v>0.42222222222222222</v>
      </c>
      <c r="U24" s="151">
        <f t="shared" si="22"/>
        <v>7.9999999999999716</v>
      </c>
      <c r="V24" s="160">
        <f t="shared" si="21"/>
        <v>71.999999999999986</v>
      </c>
      <c r="W24" s="16"/>
      <c r="X24" s="151"/>
      <c r="Y24" s="151"/>
      <c r="Z24" s="151"/>
      <c r="AA24" s="612"/>
      <c r="AB24" s="612"/>
      <c r="AC24" s="18"/>
      <c r="AD24" s="18"/>
      <c r="AE24" s="14">
        <f t="shared" si="8"/>
        <v>-96.666666666666288</v>
      </c>
      <c r="AF24" s="150">
        <f t="shared" si="9"/>
        <v>0.95166666666666688</v>
      </c>
      <c r="AG24" s="616"/>
    </row>
    <row r="25" spans="1:33" ht="15.75" customHeight="1">
      <c r="A25" s="635" t="s">
        <v>559</v>
      </c>
      <c r="B25" s="27" t="s">
        <v>5</v>
      </c>
      <c r="C25" s="659" t="s">
        <v>18</v>
      </c>
      <c r="D25" s="659"/>
      <c r="E25" s="27">
        <v>50.49</v>
      </c>
      <c r="F25" s="161">
        <v>2135</v>
      </c>
      <c r="G25" s="151">
        <f t="shared" si="19"/>
        <v>107796.15000000001</v>
      </c>
      <c r="H25" s="31" t="s">
        <v>40</v>
      </c>
      <c r="I25" s="159">
        <v>15</v>
      </c>
      <c r="J25" s="29">
        <v>2000</v>
      </c>
      <c r="K25" s="12">
        <f t="shared" si="1"/>
        <v>133.33333333333334</v>
      </c>
      <c r="L25" s="159">
        <v>15</v>
      </c>
      <c r="M25" s="13">
        <f t="shared" si="20"/>
        <v>1911.9402985074603</v>
      </c>
      <c r="N25" s="12">
        <f t="shared" si="3"/>
        <v>127.46268656716401</v>
      </c>
      <c r="O25" s="14">
        <f t="shared" si="4"/>
        <v>0</v>
      </c>
      <c r="P25" s="15">
        <f t="shared" si="5"/>
        <v>-5.8706467661693296</v>
      </c>
      <c r="Q25" s="150">
        <f t="shared" si="6"/>
        <v>0.95597014925373003</v>
      </c>
      <c r="R25" s="616"/>
      <c r="S25" s="32">
        <v>0.70833333333333337</v>
      </c>
      <c r="T25" s="32">
        <v>0.7548611111111112</v>
      </c>
      <c r="U25" s="151" t="str">
        <f t="shared" si="22"/>
        <v/>
      </c>
      <c r="V25" s="160">
        <f t="shared" si="21"/>
        <v>67.000000000000085</v>
      </c>
      <c r="W25" s="16"/>
      <c r="X25" s="16"/>
      <c r="Y25" s="151"/>
      <c r="Z25" s="151"/>
      <c r="AA25" s="612"/>
      <c r="AB25" s="612"/>
      <c r="AC25" s="18"/>
      <c r="AD25" s="18"/>
      <c r="AE25" s="14">
        <f t="shared" si="8"/>
        <v>-88.059701492539716</v>
      </c>
      <c r="AF25" s="150">
        <f t="shared" si="9"/>
        <v>0.95597014925373014</v>
      </c>
      <c r="AG25" s="616"/>
    </row>
    <row r="26" spans="1:33" ht="15.75" customHeight="1">
      <c r="A26" s="635" t="s">
        <v>559</v>
      </c>
      <c r="B26" s="27" t="s">
        <v>5</v>
      </c>
      <c r="C26" s="659" t="s">
        <v>62</v>
      </c>
      <c r="D26" s="659"/>
      <c r="E26" s="27">
        <v>51.06</v>
      </c>
      <c r="F26" s="161">
        <v>3487</v>
      </c>
      <c r="G26" s="151">
        <f t="shared" si="19"/>
        <v>178046.22</v>
      </c>
      <c r="H26" s="31" t="s">
        <v>40</v>
      </c>
      <c r="I26" s="159">
        <v>13</v>
      </c>
      <c r="J26" s="29">
        <v>2000</v>
      </c>
      <c r="K26" s="12">
        <f t="shared" si="1"/>
        <v>153.84615384615384</v>
      </c>
      <c r="L26" s="159">
        <v>13</v>
      </c>
      <c r="M26" s="13">
        <f t="shared" si="20"/>
        <v>1902.0000000000011</v>
      </c>
      <c r="N26" s="12">
        <f t="shared" si="3"/>
        <v>146.30769230769241</v>
      </c>
      <c r="O26" s="14">
        <f t="shared" si="4"/>
        <v>0</v>
      </c>
      <c r="P26" s="15">
        <f t="shared" si="5"/>
        <v>-7.5384615384614335</v>
      </c>
      <c r="Q26" s="150">
        <f t="shared" si="6"/>
        <v>0.95100000000000073</v>
      </c>
      <c r="R26" s="616"/>
      <c r="S26" s="32">
        <v>0.76041666666666674</v>
      </c>
      <c r="T26" s="32">
        <v>0.83680555555555558</v>
      </c>
      <c r="U26" s="151">
        <f t="shared" si="22"/>
        <v>7.9999999999999716</v>
      </c>
      <c r="V26" s="160">
        <f t="shared" si="21"/>
        <v>109.99999999999993</v>
      </c>
      <c r="W26" s="16"/>
      <c r="X26" s="20"/>
      <c r="Y26" s="20"/>
      <c r="Z26" s="20"/>
      <c r="AA26" s="612"/>
      <c r="AB26" s="612"/>
      <c r="AC26" s="18"/>
      <c r="AD26" s="18"/>
      <c r="AE26" s="14">
        <f t="shared" si="8"/>
        <v>-97.999999999998863</v>
      </c>
      <c r="AF26" s="150">
        <f t="shared" si="9"/>
        <v>0.95100000000000062</v>
      </c>
      <c r="AG26" s="616"/>
    </row>
    <row r="27" spans="1:33" ht="15.75" customHeight="1">
      <c r="A27" s="635" t="s">
        <v>559</v>
      </c>
      <c r="B27" s="27" t="s">
        <v>556</v>
      </c>
      <c r="C27" s="658"/>
      <c r="D27" s="658"/>
      <c r="E27" s="153"/>
      <c r="F27" s="161"/>
      <c r="G27" s="151"/>
      <c r="H27" s="161"/>
      <c r="I27" s="21">
        <v>16.666666666666668</v>
      </c>
      <c r="J27" s="29">
        <v>2000</v>
      </c>
      <c r="K27" s="12">
        <f t="shared" si="1"/>
        <v>119.99999999999999</v>
      </c>
      <c r="L27" s="21">
        <v>16.666666666666668</v>
      </c>
      <c r="M27" s="13">
        <f>AVERAGE(M21:M26)</f>
        <v>1907.6977257851906</v>
      </c>
      <c r="N27" s="12">
        <f t="shared" si="3"/>
        <v>114.46186354711143</v>
      </c>
      <c r="O27" s="14">
        <f t="shared" si="4"/>
        <v>0</v>
      </c>
      <c r="P27" s="15">
        <f t="shared" si="5"/>
        <v>-5.5381364528885513</v>
      </c>
      <c r="Q27" s="150">
        <f t="shared" si="6"/>
        <v>0.95384886289259541</v>
      </c>
      <c r="R27" s="616"/>
      <c r="S27" s="32"/>
      <c r="T27" s="32"/>
      <c r="U27" s="12"/>
      <c r="V27" s="160"/>
      <c r="W27" s="12"/>
      <c r="X27" s="12"/>
      <c r="Y27" s="22">
        <f>SUM(Y21:Y26)</f>
        <v>0</v>
      </c>
      <c r="Z27" s="22">
        <f>SUM(Z21:Z26)</f>
        <v>0</v>
      </c>
      <c r="AA27" s="611"/>
      <c r="AB27" s="611"/>
      <c r="AC27" s="22">
        <v>6</v>
      </c>
      <c r="AD27" s="22">
        <f>SUM(AD21:AD26)</f>
        <v>0</v>
      </c>
      <c r="AE27" s="14">
        <f t="shared" si="8"/>
        <v>-92.302274214809358</v>
      </c>
      <c r="AF27" s="150">
        <f t="shared" si="9"/>
        <v>0.9538488628925953</v>
      </c>
      <c r="AG27" s="616"/>
    </row>
    <row r="28" spans="1:33" ht="15.75" customHeight="1">
      <c r="A28" s="633" t="s">
        <v>560</v>
      </c>
      <c r="B28" s="27" t="s">
        <v>20</v>
      </c>
      <c r="C28" s="659" t="s">
        <v>21</v>
      </c>
      <c r="D28" s="659"/>
      <c r="E28" s="27">
        <v>31.29</v>
      </c>
      <c r="F28" s="161">
        <v>6000</v>
      </c>
      <c r="G28" s="151">
        <f t="shared" ref="G28:G35" si="23">E28*F28</f>
        <v>187740</v>
      </c>
      <c r="H28" s="31">
        <v>2</v>
      </c>
      <c r="I28" s="159">
        <v>18</v>
      </c>
      <c r="J28" s="29">
        <v>2400</v>
      </c>
      <c r="K28" s="12">
        <f t="shared" si="1"/>
        <v>133.33333333333334</v>
      </c>
      <c r="L28" s="159">
        <v>18</v>
      </c>
      <c r="M28" s="13">
        <f t="shared" ref="M28:M35" si="24">F28/V28*60</f>
        <v>2292.993630573249</v>
      </c>
      <c r="N28" s="12">
        <f t="shared" si="3"/>
        <v>127.38853503184717</v>
      </c>
      <c r="O28" s="14">
        <f t="shared" si="4"/>
        <v>0</v>
      </c>
      <c r="P28" s="15">
        <f t="shared" si="5"/>
        <v>-5.9447983014861734</v>
      </c>
      <c r="Q28" s="150">
        <f t="shared" si="6"/>
        <v>0.95541401273885374</v>
      </c>
      <c r="R28" s="616">
        <f>Q36</f>
        <v>0.95654940309480563</v>
      </c>
      <c r="S28" s="32">
        <v>8.3333333333333329E-2</v>
      </c>
      <c r="T28" s="32">
        <v>0.19236111111111109</v>
      </c>
      <c r="U28" s="151"/>
      <c r="V28" s="160">
        <f t="shared" ref="V28:V35" si="25">(T28-S28)*24*60</f>
        <v>156.99999999999997</v>
      </c>
      <c r="W28" s="16">
        <f>T28</f>
        <v>0.19236111111111109</v>
      </c>
      <c r="X28" s="16">
        <f>S29</f>
        <v>0.21180555555555552</v>
      </c>
      <c r="Y28" s="16"/>
      <c r="Z28" s="16"/>
      <c r="AA28" s="612"/>
      <c r="AB28" s="612"/>
      <c r="AC28" s="18">
        <v>8</v>
      </c>
      <c r="AD28" s="18"/>
      <c r="AE28" s="14">
        <f t="shared" si="8"/>
        <v>-107.00636942675101</v>
      </c>
      <c r="AF28" s="150">
        <f t="shared" si="9"/>
        <v>0.95541401273885374</v>
      </c>
      <c r="AG28" s="616">
        <f>AF36</f>
        <v>0.95654940309480552</v>
      </c>
    </row>
    <row r="29" spans="1:33" ht="15.75" customHeight="1">
      <c r="A29" s="633" t="s">
        <v>560</v>
      </c>
      <c r="B29" s="27" t="s">
        <v>20</v>
      </c>
      <c r="C29" s="659" t="s">
        <v>22</v>
      </c>
      <c r="D29" s="659"/>
      <c r="E29" s="27">
        <v>26.37</v>
      </c>
      <c r="F29" s="161">
        <v>4100</v>
      </c>
      <c r="G29" s="151">
        <f t="shared" si="23"/>
        <v>108117</v>
      </c>
      <c r="H29" s="31">
        <v>2</v>
      </c>
      <c r="I29" s="159">
        <v>18</v>
      </c>
      <c r="J29" s="29">
        <v>2400</v>
      </c>
      <c r="K29" s="12">
        <f t="shared" si="1"/>
        <v>133.33333333333334</v>
      </c>
      <c r="L29" s="159">
        <v>18</v>
      </c>
      <c r="M29" s="13">
        <f t="shared" si="24"/>
        <v>2299.0654205607475</v>
      </c>
      <c r="N29" s="12">
        <f t="shared" si="3"/>
        <v>127.72585669781931</v>
      </c>
      <c r="O29" s="14">
        <f t="shared" si="4"/>
        <v>0</v>
      </c>
      <c r="P29" s="15">
        <f t="shared" si="5"/>
        <v>-5.6074766355140326</v>
      </c>
      <c r="Q29" s="150">
        <f t="shared" si="6"/>
        <v>0.9579439252336448</v>
      </c>
      <c r="R29" s="616"/>
      <c r="S29" s="32">
        <v>0.21180555555555552</v>
      </c>
      <c r="T29" s="32">
        <v>0.28611111111111109</v>
      </c>
      <c r="U29" s="151">
        <f t="shared" ref="U29:U35" si="26">(S29-T28)*24*60</f>
        <v>27.999999999999979</v>
      </c>
      <c r="V29" s="160">
        <f t="shared" si="25"/>
        <v>107.00000000000001</v>
      </c>
      <c r="W29" s="16"/>
      <c r="X29" s="16"/>
      <c r="Y29" s="16"/>
      <c r="Z29" s="16"/>
      <c r="AA29" s="612"/>
      <c r="AB29" s="612"/>
      <c r="AC29" s="18"/>
      <c r="AD29" s="18"/>
      <c r="AE29" s="14">
        <f t="shared" si="8"/>
        <v>-100.9345794392525</v>
      </c>
      <c r="AF29" s="150">
        <f t="shared" si="9"/>
        <v>0.9579439252336448</v>
      </c>
      <c r="AG29" s="616"/>
    </row>
    <row r="30" spans="1:33" ht="15.75" customHeight="1">
      <c r="A30" s="633" t="s">
        <v>560</v>
      </c>
      <c r="B30" s="27" t="s">
        <v>20</v>
      </c>
      <c r="C30" s="659" t="s">
        <v>57</v>
      </c>
      <c r="D30" s="659"/>
      <c r="E30" s="27">
        <v>26.18</v>
      </c>
      <c r="F30" s="161">
        <v>5100</v>
      </c>
      <c r="G30" s="151">
        <f t="shared" si="23"/>
        <v>133518</v>
      </c>
      <c r="H30" s="31">
        <v>2</v>
      </c>
      <c r="I30" s="159">
        <v>18</v>
      </c>
      <c r="J30" s="29">
        <v>2400</v>
      </c>
      <c r="K30" s="12">
        <f t="shared" si="1"/>
        <v>133.33333333333334</v>
      </c>
      <c r="L30" s="159">
        <v>18</v>
      </c>
      <c r="M30" s="13">
        <f t="shared" si="24"/>
        <v>2283.5820895522388</v>
      </c>
      <c r="N30" s="12">
        <f t="shared" si="3"/>
        <v>126.86567164179104</v>
      </c>
      <c r="O30" s="14">
        <f t="shared" si="4"/>
        <v>0</v>
      </c>
      <c r="P30" s="15">
        <f t="shared" si="5"/>
        <v>-6.467661691542304</v>
      </c>
      <c r="Q30" s="150">
        <f t="shared" si="6"/>
        <v>0.95149253731343275</v>
      </c>
      <c r="R30" s="616"/>
      <c r="S30" s="32">
        <v>0.2895833333333333</v>
      </c>
      <c r="T30" s="32">
        <v>0.38263888888888886</v>
      </c>
      <c r="U30" s="151">
        <f t="shared" si="26"/>
        <v>4.9999999999999822</v>
      </c>
      <c r="V30" s="160">
        <f t="shared" si="25"/>
        <v>134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-116.41791044776119</v>
      </c>
      <c r="AF30" s="150">
        <f t="shared" si="9"/>
        <v>0.95149253731343286</v>
      </c>
      <c r="AG30" s="616"/>
    </row>
    <row r="31" spans="1:33" ht="15.75" customHeight="1">
      <c r="A31" s="633" t="s">
        <v>560</v>
      </c>
      <c r="B31" s="27" t="s">
        <v>20</v>
      </c>
      <c r="C31" s="659" t="s">
        <v>64</v>
      </c>
      <c r="D31" s="659"/>
      <c r="E31" s="27">
        <v>20.21</v>
      </c>
      <c r="F31" s="161">
        <v>3295</v>
      </c>
      <c r="G31" s="151">
        <f t="shared" si="23"/>
        <v>66591.95</v>
      </c>
      <c r="H31" s="31" t="s">
        <v>40</v>
      </c>
      <c r="I31" s="159">
        <v>18</v>
      </c>
      <c r="J31" s="29">
        <v>2400</v>
      </c>
      <c r="K31" s="12">
        <f t="shared" si="1"/>
        <v>133.33333333333334</v>
      </c>
      <c r="L31" s="159">
        <v>18</v>
      </c>
      <c r="M31" s="13">
        <f t="shared" si="24"/>
        <v>2298.8372093023249</v>
      </c>
      <c r="N31" s="12">
        <f t="shared" si="3"/>
        <v>127.71317829457361</v>
      </c>
      <c r="O31" s="14">
        <f t="shared" si="4"/>
        <v>0</v>
      </c>
      <c r="P31" s="15">
        <f t="shared" si="5"/>
        <v>-5.6201550387597337</v>
      </c>
      <c r="Q31" s="150">
        <f t="shared" si="6"/>
        <v>0.95784883720930203</v>
      </c>
      <c r="R31" s="616"/>
      <c r="S31" s="32">
        <v>0.38611111111111107</v>
      </c>
      <c r="T31" s="32">
        <v>0.4458333333333333</v>
      </c>
      <c r="U31" s="151">
        <f t="shared" si="26"/>
        <v>4.9999999999999822</v>
      </c>
      <c r="V31" s="160">
        <f t="shared" si="25"/>
        <v>86.000000000000014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-101.16279069767506</v>
      </c>
      <c r="AF31" s="150">
        <f t="shared" si="9"/>
        <v>0.95784883720930203</v>
      </c>
      <c r="AG31" s="616"/>
    </row>
    <row r="32" spans="1:33" ht="15.75" customHeight="1">
      <c r="A32" s="633" t="s">
        <v>560</v>
      </c>
      <c r="B32" s="27" t="s">
        <v>20</v>
      </c>
      <c r="C32" s="659" t="s">
        <v>23</v>
      </c>
      <c r="D32" s="659"/>
      <c r="E32" s="27">
        <v>25.99</v>
      </c>
      <c r="F32" s="161">
        <v>2600</v>
      </c>
      <c r="G32" s="151">
        <f t="shared" si="23"/>
        <v>67574</v>
      </c>
      <c r="H32" s="31">
        <v>2</v>
      </c>
      <c r="I32" s="159">
        <v>14</v>
      </c>
      <c r="J32" s="29">
        <v>2400</v>
      </c>
      <c r="K32" s="12">
        <f t="shared" si="1"/>
        <v>171.42857142857142</v>
      </c>
      <c r="L32" s="159">
        <v>14</v>
      </c>
      <c r="M32" s="13">
        <f t="shared" si="24"/>
        <v>2294.1176470588234</v>
      </c>
      <c r="N32" s="12">
        <f t="shared" si="3"/>
        <v>163.8655462184874</v>
      </c>
      <c r="O32" s="14">
        <f t="shared" si="4"/>
        <v>0</v>
      </c>
      <c r="P32" s="15">
        <f t="shared" si="5"/>
        <v>-7.563025210084021</v>
      </c>
      <c r="Q32" s="150">
        <f t="shared" si="6"/>
        <v>0.95588235294117652</v>
      </c>
      <c r="R32" s="616"/>
      <c r="S32" s="32">
        <v>0.4506944444444444</v>
      </c>
      <c r="T32" s="32">
        <v>0.49791666666666662</v>
      </c>
      <c r="U32" s="151">
        <f t="shared" si="26"/>
        <v>6.9999999999999751</v>
      </c>
      <c r="V32" s="160">
        <f t="shared" si="25"/>
        <v>68</v>
      </c>
      <c r="W32" s="16">
        <f>T32</f>
        <v>0.49791666666666662</v>
      </c>
      <c r="X32" s="16">
        <f>S33</f>
        <v>0.53680555555555554</v>
      </c>
      <c r="Y32" s="16"/>
      <c r="Z32" s="16"/>
      <c r="AA32" s="612"/>
      <c r="AB32" s="612"/>
      <c r="AC32" s="18"/>
      <c r="AD32" s="18"/>
      <c r="AE32" s="14">
        <f t="shared" si="8"/>
        <v>-105.88235294117658</v>
      </c>
      <c r="AF32" s="150">
        <f t="shared" si="9"/>
        <v>0.95588235294117641</v>
      </c>
      <c r="AG32" s="616"/>
    </row>
    <row r="33" spans="1:33" ht="15.75" customHeight="1">
      <c r="A33" s="633" t="s">
        <v>560</v>
      </c>
      <c r="B33" s="27" t="s">
        <v>20</v>
      </c>
      <c r="C33" s="659" t="s">
        <v>21</v>
      </c>
      <c r="D33" s="659"/>
      <c r="E33" s="27">
        <v>31.29</v>
      </c>
      <c r="F33" s="161">
        <v>4502</v>
      </c>
      <c r="G33" s="151">
        <f t="shared" si="23"/>
        <v>140867.57999999999</v>
      </c>
      <c r="H33" s="31" t="s">
        <v>40</v>
      </c>
      <c r="I33" s="159">
        <v>18</v>
      </c>
      <c r="J33" s="29">
        <v>2400</v>
      </c>
      <c r="K33" s="12">
        <f t="shared" si="1"/>
        <v>133.33333333333334</v>
      </c>
      <c r="L33" s="159">
        <v>18</v>
      </c>
      <c r="M33" s="13">
        <f t="shared" si="24"/>
        <v>2289.1525423728799</v>
      </c>
      <c r="N33" s="12">
        <f t="shared" si="3"/>
        <v>127.17514124293777</v>
      </c>
      <c r="O33" s="14">
        <f t="shared" si="4"/>
        <v>0</v>
      </c>
      <c r="P33" s="15">
        <f t="shared" si="5"/>
        <v>-6.1581920903955734</v>
      </c>
      <c r="Q33" s="150">
        <f t="shared" si="6"/>
        <v>0.95381355932203316</v>
      </c>
      <c r="R33" s="616"/>
      <c r="S33" s="32">
        <v>0.53680555555555554</v>
      </c>
      <c r="T33" s="32">
        <v>0.61875000000000002</v>
      </c>
      <c r="U33" s="151">
        <f t="shared" si="26"/>
        <v>56.000000000000043</v>
      </c>
      <c r="V33" s="160">
        <f t="shared" si="25"/>
        <v>118.00000000000006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-110.84745762712009</v>
      </c>
      <c r="AF33" s="150">
        <f t="shared" si="9"/>
        <v>0.95381355932203327</v>
      </c>
      <c r="AG33" s="616"/>
    </row>
    <row r="34" spans="1:33" ht="15.75" customHeight="1">
      <c r="A34" s="633" t="s">
        <v>560</v>
      </c>
      <c r="B34" s="27" t="s">
        <v>20</v>
      </c>
      <c r="C34" s="659" t="s">
        <v>57</v>
      </c>
      <c r="D34" s="659"/>
      <c r="E34" s="27">
        <v>26.18</v>
      </c>
      <c r="F34" s="161">
        <v>4019</v>
      </c>
      <c r="G34" s="151">
        <f t="shared" si="23"/>
        <v>105217.42</v>
      </c>
      <c r="H34" s="31" t="s">
        <v>40</v>
      </c>
      <c r="I34" s="159">
        <v>18</v>
      </c>
      <c r="J34" s="29">
        <v>2400</v>
      </c>
      <c r="K34" s="12">
        <f t="shared" si="1"/>
        <v>133.33333333333334</v>
      </c>
      <c r="L34" s="159">
        <v>18</v>
      </c>
      <c r="M34" s="13">
        <f t="shared" si="24"/>
        <v>2296.5714285714298</v>
      </c>
      <c r="N34" s="12">
        <f t="shared" si="3"/>
        <v>127.58730158730165</v>
      </c>
      <c r="O34" s="14">
        <f t="shared" si="4"/>
        <v>0</v>
      </c>
      <c r="P34" s="15">
        <f t="shared" si="5"/>
        <v>-5.7460317460316901</v>
      </c>
      <c r="Q34" s="150">
        <f t="shared" si="6"/>
        <v>0.95690476190476237</v>
      </c>
      <c r="R34" s="616"/>
      <c r="S34" s="32">
        <v>0.62291666666666667</v>
      </c>
      <c r="T34" s="32">
        <v>0.6958333333333333</v>
      </c>
      <c r="U34" s="151">
        <f t="shared" si="26"/>
        <v>5.9999999999999787</v>
      </c>
      <c r="V34" s="160">
        <f t="shared" si="25"/>
        <v>104.99999999999994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-103.42857142857019</v>
      </c>
      <c r="AF34" s="150">
        <f t="shared" si="9"/>
        <v>0.95690476190476237</v>
      </c>
      <c r="AG34" s="616"/>
    </row>
    <row r="35" spans="1:33" ht="15.75" customHeight="1">
      <c r="A35" s="633" t="s">
        <v>560</v>
      </c>
      <c r="B35" s="27" t="s">
        <v>20</v>
      </c>
      <c r="C35" s="106" t="s">
        <v>83</v>
      </c>
      <c r="D35" s="107"/>
      <c r="E35" s="27">
        <v>25.98</v>
      </c>
      <c r="F35" s="161">
        <v>2427</v>
      </c>
      <c r="G35" s="151">
        <f t="shared" si="23"/>
        <v>63053.46</v>
      </c>
      <c r="H35" s="31" t="s">
        <v>40</v>
      </c>
      <c r="I35" s="159">
        <v>20</v>
      </c>
      <c r="J35" s="29">
        <v>2400</v>
      </c>
      <c r="K35" s="12">
        <f t="shared" si="1"/>
        <v>120</v>
      </c>
      <c r="L35" s="159">
        <v>20</v>
      </c>
      <c r="M35" s="13">
        <f t="shared" si="24"/>
        <v>2311.4285714285738</v>
      </c>
      <c r="N35" s="12">
        <f t="shared" si="3"/>
        <v>115.5714285714287</v>
      </c>
      <c r="O35" s="14">
        <f t="shared" si="4"/>
        <v>0</v>
      </c>
      <c r="P35" s="15">
        <f t="shared" si="5"/>
        <v>-4.4285714285713027</v>
      </c>
      <c r="Q35" s="150">
        <f t="shared" si="6"/>
        <v>0.96309523809523911</v>
      </c>
      <c r="R35" s="616"/>
      <c r="S35" s="32">
        <v>0.70138888888888884</v>
      </c>
      <c r="T35" s="32">
        <v>0.7451388888888888</v>
      </c>
      <c r="U35" s="151">
        <f t="shared" si="26"/>
        <v>7.9999999999999716</v>
      </c>
      <c r="V35" s="160">
        <f t="shared" si="25"/>
        <v>62.999999999999936</v>
      </c>
      <c r="W35" s="16"/>
      <c r="X35" s="16"/>
      <c r="Y35" s="16"/>
      <c r="Z35" s="16"/>
      <c r="AA35" s="157"/>
      <c r="AB35" s="158"/>
      <c r="AC35" s="18"/>
      <c r="AD35" s="18"/>
      <c r="AE35" s="14">
        <f t="shared" si="8"/>
        <v>-88.571428571426168</v>
      </c>
      <c r="AF35" s="150">
        <f t="shared" si="9"/>
        <v>0.96309523809523911</v>
      </c>
      <c r="AG35" s="616"/>
    </row>
    <row r="36" spans="1:33" ht="15.75" customHeight="1">
      <c r="A36" s="633" t="s">
        <v>560</v>
      </c>
      <c r="B36" s="27" t="s">
        <v>556</v>
      </c>
      <c r="C36" s="658"/>
      <c r="D36" s="658"/>
      <c r="E36" s="153"/>
      <c r="F36" s="161"/>
      <c r="G36" s="151"/>
      <c r="H36" s="161"/>
      <c r="I36" s="21">
        <v>17.75</v>
      </c>
      <c r="J36" s="29">
        <v>2400</v>
      </c>
      <c r="K36" s="12">
        <f t="shared" si="1"/>
        <v>135.21126760563379</v>
      </c>
      <c r="L36" s="21">
        <v>17.75</v>
      </c>
      <c r="M36" s="13">
        <f>AVERAGE(M28:M35)</f>
        <v>2295.7185674275333</v>
      </c>
      <c r="N36" s="12">
        <f t="shared" si="3"/>
        <v>129.33625731986103</v>
      </c>
      <c r="O36" s="14">
        <f t="shared" si="4"/>
        <v>0</v>
      </c>
      <c r="P36" s="15">
        <f t="shared" si="5"/>
        <v>-5.8750102857727597</v>
      </c>
      <c r="Q36" s="150">
        <f t="shared" si="6"/>
        <v>0.95654940309480563</v>
      </c>
      <c r="R36" s="616"/>
      <c r="S36" s="32"/>
      <c r="T36" s="32"/>
      <c r="U36" s="151"/>
      <c r="V36" s="160"/>
      <c r="W36" s="151"/>
      <c r="X36" s="151"/>
      <c r="Y36" s="22">
        <f>SUM(Y28:Y35)</f>
        <v>0</v>
      </c>
      <c r="Z36" s="22">
        <f>SUM(Z28:Z35)</f>
        <v>0</v>
      </c>
      <c r="AA36" s="611"/>
      <c r="AB36" s="611"/>
      <c r="AC36" s="22">
        <v>8</v>
      </c>
      <c r="AD36" s="22">
        <f>SUM(AD28:AD35)</f>
        <v>0</v>
      </c>
      <c r="AE36" s="14">
        <f t="shared" si="8"/>
        <v>-104.28143257246666</v>
      </c>
      <c r="AF36" s="150">
        <f t="shared" si="9"/>
        <v>0.95654940309480552</v>
      </c>
      <c r="AG36" s="616"/>
    </row>
    <row r="37" spans="1:33" ht="15.75" customHeight="1">
      <c r="A37" s="629" t="s">
        <v>561</v>
      </c>
      <c r="B37" s="27" t="s">
        <v>20</v>
      </c>
      <c r="C37" s="660" t="s">
        <v>58</v>
      </c>
      <c r="D37" s="660"/>
      <c r="E37" s="27">
        <v>26.18</v>
      </c>
      <c r="F37" s="161">
        <v>3900</v>
      </c>
      <c r="G37" s="151">
        <f t="shared" ref="G37:G44" si="27">E37*F37</f>
        <v>102102</v>
      </c>
      <c r="H37" s="31">
        <v>2</v>
      </c>
      <c r="I37" s="159">
        <v>20</v>
      </c>
      <c r="J37" s="29">
        <v>2400</v>
      </c>
      <c r="K37" s="12">
        <f t="shared" si="1"/>
        <v>120</v>
      </c>
      <c r="L37" s="159">
        <v>20</v>
      </c>
      <c r="M37" s="13">
        <f t="shared" ref="M37:M44" si="28">F37/V37*60</f>
        <v>2294.117647058823</v>
      </c>
      <c r="N37" s="12">
        <f t="shared" si="3"/>
        <v>114.70588235294115</v>
      </c>
      <c r="O37" s="14">
        <f t="shared" si="4"/>
        <v>0</v>
      </c>
      <c r="P37" s="15">
        <f t="shared" si="5"/>
        <v>-5.2941176470588545</v>
      </c>
      <c r="Q37" s="150">
        <f t="shared" si="6"/>
        <v>0.95588235294117618</v>
      </c>
      <c r="R37" s="616">
        <f>Q45</f>
        <v>0.95553681644288402</v>
      </c>
      <c r="S37" s="32">
        <v>8.3333333333333329E-2</v>
      </c>
      <c r="T37" s="32">
        <v>0.15416666666666667</v>
      </c>
      <c r="U37" s="151"/>
      <c r="V37" s="160">
        <f t="shared" ref="V37:V44" si="29">(T37-S37)*24*60</f>
        <v>102.00000000000001</v>
      </c>
      <c r="W37" s="20">
        <f>T37</f>
        <v>0.15416666666666667</v>
      </c>
      <c r="X37" s="20">
        <f>S38</f>
        <v>0.17291666666666666</v>
      </c>
      <c r="Y37" s="20"/>
      <c r="Z37" s="20"/>
      <c r="AA37" s="612"/>
      <c r="AB37" s="612"/>
      <c r="AC37" s="18">
        <v>8</v>
      </c>
      <c r="AD37" s="18"/>
      <c r="AE37" s="14">
        <f t="shared" si="8"/>
        <v>-105.88235294117703</v>
      </c>
      <c r="AF37" s="150">
        <f t="shared" si="9"/>
        <v>0.95588235294117618</v>
      </c>
      <c r="AG37" s="616">
        <f>AF45</f>
        <v>0.95553681644288402</v>
      </c>
    </row>
    <row r="38" spans="1:33" ht="15.75" customHeight="1">
      <c r="A38" s="629" t="s">
        <v>561</v>
      </c>
      <c r="B38" s="27" t="s">
        <v>20</v>
      </c>
      <c r="C38" s="660" t="s">
        <v>25</v>
      </c>
      <c r="D38" s="660"/>
      <c r="E38" s="27">
        <v>24.43</v>
      </c>
      <c r="F38" s="161">
        <v>4300</v>
      </c>
      <c r="G38" s="151">
        <f t="shared" si="27"/>
        <v>105049</v>
      </c>
      <c r="H38" s="31">
        <v>2</v>
      </c>
      <c r="I38" s="159">
        <v>14</v>
      </c>
      <c r="J38" s="29">
        <v>2400</v>
      </c>
      <c r="K38" s="12">
        <f t="shared" si="1"/>
        <v>171.42857142857142</v>
      </c>
      <c r="L38" s="159">
        <v>14</v>
      </c>
      <c r="M38" s="13">
        <f t="shared" si="28"/>
        <v>2283.1858407079644</v>
      </c>
      <c r="N38" s="12">
        <f t="shared" si="3"/>
        <v>163.08470290771174</v>
      </c>
      <c r="O38" s="14">
        <f t="shared" si="4"/>
        <v>0</v>
      </c>
      <c r="P38" s="15">
        <f t="shared" si="5"/>
        <v>-8.3438685208596723</v>
      </c>
      <c r="Q38" s="150">
        <f t="shared" si="6"/>
        <v>0.95132743362831862</v>
      </c>
      <c r="R38" s="616"/>
      <c r="S38" s="32">
        <v>0.17291666666666666</v>
      </c>
      <c r="T38" s="32">
        <v>0.25138888888888888</v>
      </c>
      <c r="U38" s="151">
        <f t="shared" ref="U38:U44" si="30">(S38-T37)*24*60</f>
        <v>26.999999999999986</v>
      </c>
      <c r="V38" s="160">
        <f t="shared" si="29"/>
        <v>113</v>
      </c>
      <c r="W38" s="151"/>
      <c r="X38" s="151"/>
      <c r="Y38" s="151"/>
      <c r="Z38" s="151"/>
      <c r="AA38" s="612"/>
      <c r="AB38" s="612"/>
      <c r="AC38" s="18"/>
      <c r="AD38" s="18"/>
      <c r="AE38" s="14">
        <f t="shared" si="8"/>
        <v>-116.81415929203558</v>
      </c>
      <c r="AF38" s="150">
        <f t="shared" si="9"/>
        <v>0.95132743362831851</v>
      </c>
      <c r="AG38" s="616"/>
    </row>
    <row r="39" spans="1:33">
      <c r="A39" s="630" t="s">
        <v>561</v>
      </c>
      <c r="B39" s="27" t="s">
        <v>20</v>
      </c>
      <c r="C39" s="660" t="s">
        <v>83</v>
      </c>
      <c r="D39" s="660"/>
      <c r="E39" s="27">
        <v>25.98</v>
      </c>
      <c r="F39" s="161">
        <v>3600</v>
      </c>
      <c r="G39" s="151">
        <f t="shared" si="27"/>
        <v>93528</v>
      </c>
      <c r="H39" s="31">
        <v>2</v>
      </c>
      <c r="I39" s="159">
        <v>20</v>
      </c>
      <c r="J39" s="29">
        <v>2400</v>
      </c>
      <c r="K39" s="12">
        <f t="shared" si="1"/>
        <v>120</v>
      </c>
      <c r="L39" s="159">
        <v>20</v>
      </c>
      <c r="M39" s="13">
        <f t="shared" si="28"/>
        <v>2297.872340425532</v>
      </c>
      <c r="N39" s="12">
        <f t="shared" si="3"/>
        <v>114.8936170212766</v>
      </c>
      <c r="O39" s="14">
        <f t="shared" si="4"/>
        <v>0</v>
      </c>
      <c r="P39" s="15">
        <f t="shared" si="5"/>
        <v>-5.1063829787234027</v>
      </c>
      <c r="Q39" s="150">
        <f t="shared" si="6"/>
        <v>0.95744680851063835</v>
      </c>
      <c r="R39" s="616"/>
      <c r="S39" s="32">
        <v>0.25624999999999998</v>
      </c>
      <c r="T39" s="32">
        <v>0.32152777777777775</v>
      </c>
      <c r="U39" s="151">
        <f t="shared" si="30"/>
        <v>6.9999999999999751</v>
      </c>
      <c r="V39" s="160">
        <f t="shared" si="29"/>
        <v>93.999999999999986</v>
      </c>
      <c r="W39" s="151"/>
      <c r="X39" s="151"/>
      <c r="Y39" s="151"/>
      <c r="Z39" s="151"/>
      <c r="AA39" s="612"/>
      <c r="AB39" s="612"/>
      <c r="AC39" s="18"/>
      <c r="AD39" s="18"/>
      <c r="AE39" s="14">
        <f t="shared" si="8"/>
        <v>-102.127659574468</v>
      </c>
      <c r="AF39" s="150">
        <f t="shared" si="9"/>
        <v>0.95744680851063835</v>
      </c>
      <c r="AG39" s="616"/>
    </row>
    <row r="40" spans="1:33">
      <c r="A40" s="630" t="s">
        <v>561</v>
      </c>
      <c r="B40" s="27" t="s">
        <v>20</v>
      </c>
      <c r="C40" s="660" t="s">
        <v>26</v>
      </c>
      <c r="D40" s="660"/>
      <c r="E40" s="27">
        <v>34.1</v>
      </c>
      <c r="F40" s="161">
        <v>4000</v>
      </c>
      <c r="G40" s="151">
        <f t="shared" si="27"/>
        <v>136400</v>
      </c>
      <c r="H40" s="31">
        <v>2</v>
      </c>
      <c r="I40" s="159">
        <v>17</v>
      </c>
      <c r="J40" s="29">
        <v>1600</v>
      </c>
      <c r="K40" s="12">
        <f t="shared" si="1"/>
        <v>94.117647058823536</v>
      </c>
      <c r="L40" s="159">
        <v>17</v>
      </c>
      <c r="M40" s="13">
        <f t="shared" si="28"/>
        <v>1528.6624203821657</v>
      </c>
      <c r="N40" s="12">
        <f t="shared" si="3"/>
        <v>89.92131884600974</v>
      </c>
      <c r="O40" s="14">
        <f t="shared" si="4"/>
        <v>0</v>
      </c>
      <c r="P40" s="15">
        <f t="shared" si="5"/>
        <v>-4.1963282128137962</v>
      </c>
      <c r="Q40" s="150">
        <f t="shared" si="6"/>
        <v>0.9554140127388534</v>
      </c>
      <c r="R40" s="616"/>
      <c r="S40" s="32">
        <v>0.32499999999999996</v>
      </c>
      <c r="T40" s="32">
        <v>0.43402777777777773</v>
      </c>
      <c r="U40" s="151">
        <f t="shared" si="30"/>
        <v>4.9999999999999822</v>
      </c>
      <c r="V40" s="160">
        <f t="shared" si="29"/>
        <v>157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-71.337579617834308</v>
      </c>
      <c r="AF40" s="150">
        <f t="shared" si="9"/>
        <v>0.95541401273885351</v>
      </c>
      <c r="AG40" s="616"/>
    </row>
    <row r="41" spans="1:33">
      <c r="A41" s="630" t="s">
        <v>561</v>
      </c>
      <c r="B41" s="27" t="s">
        <v>20</v>
      </c>
      <c r="C41" s="660" t="s">
        <v>37</v>
      </c>
      <c r="D41" s="660"/>
      <c r="E41" s="27">
        <v>20.21</v>
      </c>
      <c r="F41" s="161">
        <v>3178</v>
      </c>
      <c r="G41" s="151">
        <f t="shared" si="27"/>
        <v>64227.380000000005</v>
      </c>
      <c r="H41" s="31" t="s">
        <v>40</v>
      </c>
      <c r="I41" s="159">
        <v>15</v>
      </c>
      <c r="J41" s="29">
        <v>2400</v>
      </c>
      <c r="K41" s="12">
        <f t="shared" si="1"/>
        <v>160</v>
      </c>
      <c r="L41" s="159">
        <v>15</v>
      </c>
      <c r="M41" s="13">
        <f t="shared" si="28"/>
        <v>2297.3493975903607</v>
      </c>
      <c r="N41" s="12">
        <f t="shared" si="3"/>
        <v>153.15662650602405</v>
      </c>
      <c r="O41" s="14">
        <f t="shared" si="4"/>
        <v>0</v>
      </c>
      <c r="P41" s="15">
        <f t="shared" si="5"/>
        <v>-6.8433734939759461</v>
      </c>
      <c r="Q41" s="150">
        <f t="shared" si="6"/>
        <v>0.95722891566265034</v>
      </c>
      <c r="R41" s="616"/>
      <c r="S41" s="32">
        <v>0.43958333333333327</v>
      </c>
      <c r="T41" s="32">
        <v>0.49722222222222218</v>
      </c>
      <c r="U41" s="151">
        <f t="shared" si="30"/>
        <v>7.9999999999999716</v>
      </c>
      <c r="V41" s="160">
        <f t="shared" si="29"/>
        <v>83.000000000000028</v>
      </c>
      <c r="W41" s="16">
        <f>T41</f>
        <v>0.49722222222222218</v>
      </c>
      <c r="X41" s="16">
        <f>S42</f>
        <v>0.53888888888888886</v>
      </c>
      <c r="Y41" s="16"/>
      <c r="Z41" s="16"/>
      <c r="AA41" s="612"/>
      <c r="AB41" s="612"/>
      <c r="AC41" s="18"/>
      <c r="AD41" s="18"/>
      <c r="AE41" s="14">
        <f t="shared" si="8"/>
        <v>-102.6506024096393</v>
      </c>
      <c r="AF41" s="150">
        <f t="shared" si="9"/>
        <v>0.95722891566265034</v>
      </c>
      <c r="AG41" s="616"/>
    </row>
    <row r="42" spans="1:33">
      <c r="A42" s="630" t="s">
        <v>561</v>
      </c>
      <c r="B42" s="27" t="s">
        <v>20</v>
      </c>
      <c r="C42" s="660" t="s">
        <v>58</v>
      </c>
      <c r="D42" s="660"/>
      <c r="E42" s="27">
        <v>26.18</v>
      </c>
      <c r="F42" s="161">
        <v>3006</v>
      </c>
      <c r="G42" s="151">
        <f t="shared" si="27"/>
        <v>78697.08</v>
      </c>
      <c r="H42" s="31" t="s">
        <v>40</v>
      </c>
      <c r="I42" s="159">
        <v>20</v>
      </c>
      <c r="J42" s="29">
        <v>2400</v>
      </c>
      <c r="K42" s="12">
        <f t="shared" si="1"/>
        <v>120</v>
      </c>
      <c r="L42" s="159">
        <v>20</v>
      </c>
      <c r="M42" s="13">
        <f t="shared" si="28"/>
        <v>2283.0379746835429</v>
      </c>
      <c r="N42" s="12">
        <f t="shared" si="3"/>
        <v>114.15189873417714</v>
      </c>
      <c r="O42" s="14">
        <f t="shared" si="4"/>
        <v>0</v>
      </c>
      <c r="P42" s="15">
        <f t="shared" si="5"/>
        <v>-5.8481012658228622</v>
      </c>
      <c r="Q42" s="150">
        <f t="shared" si="6"/>
        <v>0.95126582278480953</v>
      </c>
      <c r="R42" s="616"/>
      <c r="S42" s="32">
        <v>0.53888888888888886</v>
      </c>
      <c r="T42" s="32">
        <v>0.59375</v>
      </c>
      <c r="U42" s="151">
        <f t="shared" si="30"/>
        <v>60.000000000000028</v>
      </c>
      <c r="V42" s="160">
        <f t="shared" si="29"/>
        <v>79.000000000000043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-116.96202531645713</v>
      </c>
      <c r="AF42" s="150">
        <f t="shared" si="9"/>
        <v>0.95126582278480953</v>
      </c>
      <c r="AG42" s="616"/>
    </row>
    <row r="43" spans="1:33">
      <c r="A43" s="630" t="s">
        <v>561</v>
      </c>
      <c r="B43" s="27" t="s">
        <v>20</v>
      </c>
      <c r="C43" s="660" t="s">
        <v>25</v>
      </c>
      <c r="D43" s="660"/>
      <c r="E43" s="27">
        <v>24.43</v>
      </c>
      <c r="F43" s="161">
        <v>3603</v>
      </c>
      <c r="G43" s="151">
        <f t="shared" si="27"/>
        <v>88021.29</v>
      </c>
      <c r="H43" s="31" t="s">
        <v>40</v>
      </c>
      <c r="I43" s="159">
        <v>14</v>
      </c>
      <c r="J43" s="29">
        <v>2400</v>
      </c>
      <c r="K43" s="12">
        <f t="shared" si="1"/>
        <v>171.42857142857142</v>
      </c>
      <c r="L43" s="159">
        <v>14</v>
      </c>
      <c r="M43" s="13">
        <f t="shared" si="28"/>
        <v>2299.7872340425533</v>
      </c>
      <c r="N43" s="12">
        <f t="shared" si="3"/>
        <v>164.27051671732525</v>
      </c>
      <c r="O43" s="14">
        <f t="shared" si="4"/>
        <v>0</v>
      </c>
      <c r="P43" s="15">
        <f t="shared" si="5"/>
        <v>-7.1580547112461659</v>
      </c>
      <c r="Q43" s="150">
        <f t="shared" si="6"/>
        <v>0.95824468085106407</v>
      </c>
      <c r="R43" s="616"/>
      <c r="S43" s="32">
        <v>0.59791666666666665</v>
      </c>
      <c r="T43" s="32">
        <v>0.66319444444444442</v>
      </c>
      <c r="U43" s="151">
        <f t="shared" si="30"/>
        <v>5.9999999999999787</v>
      </c>
      <c r="V43" s="160">
        <f t="shared" si="29"/>
        <v>93.999999999999986</v>
      </c>
      <c r="W43" s="16"/>
      <c r="X43" s="16"/>
      <c r="Y43" s="19"/>
      <c r="Z43" s="19"/>
      <c r="AA43" s="607"/>
      <c r="AB43" s="608"/>
      <c r="AC43" s="18"/>
      <c r="AD43" s="18"/>
      <c r="AE43" s="14">
        <f t="shared" si="8"/>
        <v>-100.21276595744666</v>
      </c>
      <c r="AF43" s="150">
        <f t="shared" si="9"/>
        <v>0.95824468085106385</v>
      </c>
      <c r="AG43" s="616"/>
    </row>
    <row r="44" spans="1:33">
      <c r="A44" s="630" t="s">
        <v>561</v>
      </c>
      <c r="B44" s="27" t="s">
        <v>20</v>
      </c>
      <c r="C44" s="660" t="s">
        <v>26</v>
      </c>
      <c r="D44" s="660"/>
      <c r="E44" s="27">
        <v>34.1</v>
      </c>
      <c r="F44" s="161">
        <v>3348</v>
      </c>
      <c r="G44" s="151">
        <f t="shared" si="27"/>
        <v>114166.8</v>
      </c>
      <c r="H44" s="31" t="s">
        <v>40</v>
      </c>
      <c r="I44" s="159">
        <v>17</v>
      </c>
      <c r="J44" s="29">
        <v>1600</v>
      </c>
      <c r="K44" s="12">
        <f t="shared" si="1"/>
        <v>94.117647058823536</v>
      </c>
      <c r="L44" s="159">
        <v>17</v>
      </c>
      <c r="M44" s="13">
        <f t="shared" si="28"/>
        <v>1533.4351145038167</v>
      </c>
      <c r="N44" s="12">
        <f t="shared" si="3"/>
        <v>90.202065559048037</v>
      </c>
      <c r="O44" s="14">
        <f t="shared" si="4"/>
        <v>0</v>
      </c>
      <c r="P44" s="15">
        <f t="shared" si="5"/>
        <v>-3.9155814997754987</v>
      </c>
      <c r="Q44" s="150">
        <f t="shared" si="6"/>
        <v>0.95839694656488528</v>
      </c>
      <c r="R44" s="616"/>
      <c r="S44" s="32">
        <v>0.66666666666666663</v>
      </c>
      <c r="T44" s="32">
        <v>0.75763888888888886</v>
      </c>
      <c r="U44" s="151">
        <f t="shared" si="30"/>
        <v>4.9999999999999822</v>
      </c>
      <c r="V44" s="160">
        <f t="shared" si="29"/>
        <v>131</v>
      </c>
      <c r="W44" s="16"/>
      <c r="X44" s="16"/>
      <c r="Y44" s="19"/>
      <c r="Z44" s="19"/>
      <c r="AA44" s="607"/>
      <c r="AB44" s="608"/>
      <c r="AC44" s="18"/>
      <c r="AD44" s="18"/>
      <c r="AE44" s="14">
        <f t="shared" si="8"/>
        <v>-66.564885496183251</v>
      </c>
      <c r="AF44" s="150">
        <f t="shared" si="9"/>
        <v>0.9583969465648855</v>
      </c>
      <c r="AG44" s="616"/>
    </row>
    <row r="45" spans="1:33">
      <c r="A45" s="630" t="s">
        <v>561</v>
      </c>
      <c r="B45" s="28" t="s">
        <v>556</v>
      </c>
      <c r="C45" s="658"/>
      <c r="D45" s="658"/>
      <c r="E45" s="153"/>
      <c r="F45" s="28"/>
      <c r="G45" s="12"/>
      <c r="H45" s="161"/>
      <c r="I45" s="21">
        <v>17.125</v>
      </c>
      <c r="J45" s="29">
        <v>2200</v>
      </c>
      <c r="K45" s="12">
        <f t="shared" si="1"/>
        <v>128.46715328467153</v>
      </c>
      <c r="L45" s="21">
        <v>17.125</v>
      </c>
      <c r="M45" s="13">
        <f>AVERAGE(M37:M44)</f>
        <v>2102.1809961743447</v>
      </c>
      <c r="N45" s="12">
        <f t="shared" si="3"/>
        <v>122.75509466711502</v>
      </c>
      <c r="O45" s="14">
        <f t="shared" si="4"/>
        <v>0</v>
      </c>
      <c r="P45" s="15">
        <f t="shared" si="5"/>
        <v>-5.712058617556508</v>
      </c>
      <c r="Q45" s="150">
        <f t="shared" si="6"/>
        <v>0.95553681644288402</v>
      </c>
      <c r="R45" s="616"/>
      <c r="S45" s="32"/>
      <c r="T45" s="32"/>
      <c r="U45" s="12"/>
      <c r="V45" s="160"/>
      <c r="W45" s="12"/>
      <c r="X45" s="12"/>
      <c r="Y45" s="22">
        <f>SUM(Y37:Y44)</f>
        <v>0</v>
      </c>
      <c r="Z45" s="22">
        <f>SUM(Z37:Z44)</f>
        <v>0</v>
      </c>
      <c r="AA45" s="611"/>
      <c r="AB45" s="611"/>
      <c r="AC45" s="22">
        <v>8</v>
      </c>
      <c r="AD45" s="22">
        <f>SUM(AD37:AD44)</f>
        <v>0</v>
      </c>
      <c r="AE45" s="14">
        <f t="shared" si="8"/>
        <v>-97.819003825655273</v>
      </c>
      <c r="AF45" s="150">
        <f t="shared" si="9"/>
        <v>0.95553681644288402</v>
      </c>
      <c r="AG45" s="616"/>
    </row>
    <row r="46" spans="1:33" ht="15.75" customHeight="1">
      <c r="A46" s="623" t="s">
        <v>562</v>
      </c>
      <c r="B46" s="27" t="s">
        <v>27</v>
      </c>
      <c r="C46" s="605" t="s">
        <v>33</v>
      </c>
      <c r="D46" s="606"/>
      <c r="E46" s="27">
        <v>34.36</v>
      </c>
      <c r="F46" s="161">
        <v>2534</v>
      </c>
      <c r="G46" s="151">
        <f t="shared" ref="G46:G48" si="31">E46*F46</f>
        <v>87068.24</v>
      </c>
      <c r="H46" s="31" t="s">
        <v>40</v>
      </c>
      <c r="I46" s="159">
        <v>10</v>
      </c>
      <c r="J46" s="29">
        <v>3000</v>
      </c>
      <c r="K46" s="12">
        <f t="shared" si="1"/>
        <v>300</v>
      </c>
      <c r="L46" s="159">
        <v>10</v>
      </c>
      <c r="M46" s="13">
        <f t="shared" ref="M46:M48" si="32">F46/V46*60</f>
        <v>2868.6792452830182</v>
      </c>
      <c r="N46" s="13">
        <f t="shared" si="3"/>
        <v>286.86792452830184</v>
      </c>
      <c r="O46" s="14">
        <f t="shared" si="4"/>
        <v>0</v>
      </c>
      <c r="P46" s="15">
        <f t="shared" si="5"/>
        <v>-13.132075471698158</v>
      </c>
      <c r="Q46" s="150">
        <f t="shared" si="6"/>
        <v>0.95622641509433948</v>
      </c>
      <c r="R46" s="626">
        <f>Q49</f>
        <v>0.95421085067239786</v>
      </c>
      <c r="S46" s="32">
        <v>0.20833333333333334</v>
      </c>
      <c r="T46" s="32">
        <v>0.24513888888888891</v>
      </c>
      <c r="U46" s="20"/>
      <c r="V46" s="160">
        <f t="shared" ref="V46:V48" si="33">(T46-S46)*24*60</f>
        <v>53.000000000000014</v>
      </c>
      <c r="W46" s="16"/>
      <c r="X46" s="16"/>
      <c r="Y46" s="19"/>
      <c r="Z46" s="19"/>
      <c r="AA46" s="607"/>
      <c r="AB46" s="608"/>
      <c r="AC46" s="18">
        <v>3</v>
      </c>
      <c r="AD46" s="18"/>
      <c r="AE46" s="14">
        <f t="shared" si="8"/>
        <v>-131.32075471698181</v>
      </c>
      <c r="AF46" s="150">
        <f t="shared" si="9"/>
        <v>0.95622641509433937</v>
      </c>
      <c r="AG46" s="626">
        <f>AF49</f>
        <v>0.95421085067239786</v>
      </c>
    </row>
    <row r="47" spans="1:33" ht="15.75" customHeight="1">
      <c r="A47" s="624" t="s">
        <v>562</v>
      </c>
      <c r="B47" s="27" t="s">
        <v>27</v>
      </c>
      <c r="C47" s="605" t="s">
        <v>29</v>
      </c>
      <c r="D47" s="606"/>
      <c r="E47" s="27">
        <v>21.13</v>
      </c>
      <c r="F47" s="161">
        <v>6723</v>
      </c>
      <c r="G47" s="151">
        <f t="shared" si="31"/>
        <v>142056.99</v>
      </c>
      <c r="H47" s="31" t="s">
        <v>40</v>
      </c>
      <c r="I47" s="159">
        <v>10</v>
      </c>
      <c r="J47" s="29">
        <v>3000</v>
      </c>
      <c r="K47" s="12">
        <f t="shared" si="1"/>
        <v>300</v>
      </c>
      <c r="L47" s="159">
        <v>10</v>
      </c>
      <c r="M47" s="13">
        <f t="shared" si="32"/>
        <v>2860.851063829788</v>
      </c>
      <c r="N47" s="13">
        <f t="shared" si="3"/>
        <v>286.08510638297878</v>
      </c>
      <c r="O47" s="14">
        <f t="shared" si="4"/>
        <v>0</v>
      </c>
      <c r="P47" s="15">
        <f t="shared" si="5"/>
        <v>-13.914893617021221</v>
      </c>
      <c r="Q47" s="150">
        <f t="shared" si="6"/>
        <v>0.95361702127659598</v>
      </c>
      <c r="R47" s="627"/>
      <c r="S47" s="32">
        <v>0.25069444444444444</v>
      </c>
      <c r="T47" s="32">
        <v>0.34861111111111109</v>
      </c>
      <c r="U47" s="151">
        <f t="shared" ref="U47:U48" si="34">(S47-T46)*24*60</f>
        <v>7.9999999999999716</v>
      </c>
      <c r="V47" s="160">
        <f t="shared" si="33"/>
        <v>140.99999999999997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-139.14893617021198</v>
      </c>
      <c r="AF47" s="150">
        <f t="shared" si="9"/>
        <v>0.95361702127659598</v>
      </c>
      <c r="AG47" s="627"/>
    </row>
    <row r="48" spans="1:33" ht="15.75" customHeight="1">
      <c r="A48" s="624" t="s">
        <v>562</v>
      </c>
      <c r="B48" s="27" t="s">
        <v>27</v>
      </c>
      <c r="C48" s="605" t="s">
        <v>30</v>
      </c>
      <c r="D48" s="606"/>
      <c r="E48" s="27">
        <v>27.17</v>
      </c>
      <c r="F48" s="161">
        <v>7003</v>
      </c>
      <c r="G48" s="151">
        <f t="shared" si="31"/>
        <v>190271.51</v>
      </c>
      <c r="H48" s="31" t="s">
        <v>40</v>
      </c>
      <c r="I48" s="159">
        <v>10</v>
      </c>
      <c r="J48" s="29">
        <v>3000</v>
      </c>
      <c r="K48" s="12">
        <f t="shared" si="1"/>
        <v>300</v>
      </c>
      <c r="L48" s="159">
        <v>10</v>
      </c>
      <c r="M48" s="13">
        <f t="shared" si="32"/>
        <v>2858.367346938775</v>
      </c>
      <c r="N48" s="13">
        <f t="shared" si="3"/>
        <v>285.83673469387747</v>
      </c>
      <c r="O48" s="14">
        <f t="shared" si="4"/>
        <v>0</v>
      </c>
      <c r="P48" s="15">
        <f t="shared" si="5"/>
        <v>-14.163265306122526</v>
      </c>
      <c r="Q48" s="150">
        <f t="shared" si="6"/>
        <v>0.95278911564625823</v>
      </c>
      <c r="R48" s="627"/>
      <c r="S48" s="32">
        <v>0.35347222222222219</v>
      </c>
      <c r="T48" s="32">
        <v>0.45555555555555555</v>
      </c>
      <c r="U48" s="151">
        <f t="shared" si="34"/>
        <v>6.9999999999999751</v>
      </c>
      <c r="V48" s="160">
        <f t="shared" si="33"/>
        <v>147.00000000000003</v>
      </c>
      <c r="W48" s="16"/>
      <c r="X48" s="16"/>
      <c r="Y48" s="19"/>
      <c r="Z48" s="19"/>
      <c r="AA48" s="607"/>
      <c r="AB48" s="608"/>
      <c r="AC48" s="18"/>
      <c r="AD48" s="18"/>
      <c r="AE48" s="14">
        <f t="shared" si="8"/>
        <v>-141.63265306122503</v>
      </c>
      <c r="AF48" s="150">
        <f t="shared" si="9"/>
        <v>0.95278911564625834</v>
      </c>
      <c r="AG48" s="627"/>
    </row>
    <row r="49" spans="1:33" ht="15.75" customHeight="1">
      <c r="A49" s="625" t="s">
        <v>562</v>
      </c>
      <c r="B49" s="27" t="s">
        <v>556</v>
      </c>
      <c r="C49" s="609"/>
      <c r="D49" s="610"/>
      <c r="E49" s="152"/>
      <c r="F49" s="161"/>
      <c r="G49" s="151"/>
      <c r="H49" s="161"/>
      <c r="I49" s="21">
        <v>10</v>
      </c>
      <c r="J49" s="29">
        <v>3000</v>
      </c>
      <c r="K49" s="12">
        <f t="shared" si="1"/>
        <v>300</v>
      </c>
      <c r="L49" s="21">
        <v>10</v>
      </c>
      <c r="M49" s="13">
        <f>AVERAGE(M46:M48)</f>
        <v>2862.6325520171936</v>
      </c>
      <c r="N49" s="12">
        <f t="shared" si="3"/>
        <v>286.26325520171935</v>
      </c>
      <c r="O49" s="14">
        <f t="shared" si="4"/>
        <v>0</v>
      </c>
      <c r="P49" s="15">
        <f t="shared" si="5"/>
        <v>-13.736744798280654</v>
      </c>
      <c r="Q49" s="150">
        <f t="shared" si="6"/>
        <v>0.95421085067239786</v>
      </c>
      <c r="R49" s="628"/>
      <c r="S49" s="32"/>
      <c r="T49" s="32"/>
      <c r="U49" s="151"/>
      <c r="V49" s="160"/>
      <c r="W49" s="16"/>
      <c r="X49" s="16"/>
      <c r="Y49" s="22">
        <f>SUM(Y46:Y48)</f>
        <v>0</v>
      </c>
      <c r="Z49" s="22">
        <f>SUM(Z46:Z48)</f>
        <v>0</v>
      </c>
      <c r="AA49" s="619"/>
      <c r="AB49" s="620"/>
      <c r="AC49" s="22">
        <v>3</v>
      </c>
      <c r="AD49" s="22">
        <f>SUM(AD46:AD48)</f>
        <v>0</v>
      </c>
      <c r="AE49" s="14">
        <f t="shared" si="8"/>
        <v>-137.36744798280642</v>
      </c>
      <c r="AF49" s="150">
        <f t="shared" si="9"/>
        <v>0.95421085067239786</v>
      </c>
      <c r="AG49" s="628"/>
    </row>
    <row r="50" spans="1:33" ht="15.75" customHeight="1">
      <c r="A50" s="621" t="s">
        <v>563</v>
      </c>
      <c r="B50" s="27" t="s">
        <v>5</v>
      </c>
      <c r="C50" s="660" t="s">
        <v>15</v>
      </c>
      <c r="D50" s="660"/>
      <c r="E50" s="27">
        <v>59.04</v>
      </c>
      <c r="F50" s="30">
        <v>2388</v>
      </c>
      <c r="G50" s="151">
        <f t="shared" ref="G50:G56" si="35">E50*F50</f>
        <v>140987.51999999999</v>
      </c>
      <c r="H50" s="31" t="s">
        <v>40</v>
      </c>
      <c r="I50" s="159">
        <v>19</v>
      </c>
      <c r="J50" s="29">
        <v>2000</v>
      </c>
      <c r="K50" s="12">
        <f t="shared" si="1"/>
        <v>105.26315789473684</v>
      </c>
      <c r="L50" s="159">
        <v>19</v>
      </c>
      <c r="M50" s="13">
        <f t="shared" ref="M50" si="36">F50/V50*60</f>
        <v>1910.3999999999996</v>
      </c>
      <c r="N50" s="13">
        <f t="shared" si="3"/>
        <v>100.54736842105261</v>
      </c>
      <c r="O50" s="14">
        <f t="shared" si="4"/>
        <v>0</v>
      </c>
      <c r="P50" s="15">
        <f t="shared" si="5"/>
        <v>-4.7157894736842252</v>
      </c>
      <c r="Q50" s="150">
        <f t="shared" si="6"/>
        <v>0.95519999999999983</v>
      </c>
      <c r="R50" s="616">
        <f>Q57</f>
        <v>0.9581038049492433</v>
      </c>
      <c r="S50" s="32">
        <v>0.20833333333333334</v>
      </c>
      <c r="T50" s="32">
        <v>0.26041666666666669</v>
      </c>
      <c r="U50" s="20"/>
      <c r="V50" s="160">
        <f t="shared" ref="V50:V56" si="37">(T50-S50)*24*60</f>
        <v>75.000000000000014</v>
      </c>
      <c r="W50" s="16"/>
      <c r="X50" s="16"/>
      <c r="Y50" s="20"/>
      <c r="Z50" s="20"/>
      <c r="AA50" s="612"/>
      <c r="AB50" s="612"/>
      <c r="AC50" s="18">
        <v>7</v>
      </c>
      <c r="AD50" s="18"/>
      <c r="AE50" s="14">
        <f t="shared" si="8"/>
        <v>-89.600000000000364</v>
      </c>
      <c r="AF50" s="150">
        <f t="shared" si="9"/>
        <v>0.95519999999999983</v>
      </c>
      <c r="AG50" s="616">
        <f>AF57</f>
        <v>0.95810380494924319</v>
      </c>
    </row>
    <row r="51" spans="1:33" ht="15.75" customHeight="1">
      <c r="A51" s="621" t="s">
        <v>563</v>
      </c>
      <c r="B51" s="27" t="s">
        <v>5</v>
      </c>
      <c r="C51" s="660" t="s">
        <v>31</v>
      </c>
      <c r="D51" s="660"/>
      <c r="E51" s="27">
        <v>56.43</v>
      </c>
      <c r="F51" s="30">
        <v>1595</v>
      </c>
      <c r="G51" s="151">
        <f t="shared" si="35"/>
        <v>90005.85</v>
      </c>
      <c r="H51" s="31" t="s">
        <v>40</v>
      </c>
      <c r="I51" s="159">
        <v>22</v>
      </c>
      <c r="J51" s="29">
        <v>2000</v>
      </c>
      <c r="K51" s="12">
        <f t="shared" si="1"/>
        <v>90.909090909090907</v>
      </c>
      <c r="L51" s="159">
        <v>22</v>
      </c>
      <c r="M51" s="13">
        <f>F51/V51*60</f>
        <v>1914.0000000000005</v>
      </c>
      <c r="N51" s="13">
        <f t="shared" si="3"/>
        <v>87.000000000000014</v>
      </c>
      <c r="O51" s="14">
        <f t="shared" si="4"/>
        <v>0</v>
      </c>
      <c r="P51" s="15">
        <f t="shared" si="5"/>
        <v>-3.9090909090908923</v>
      </c>
      <c r="Q51" s="150">
        <f t="shared" si="6"/>
        <v>0.95700000000000018</v>
      </c>
      <c r="R51" s="616"/>
      <c r="S51" s="32">
        <v>0.2638888888888889</v>
      </c>
      <c r="T51" s="32">
        <v>0.2986111111111111</v>
      </c>
      <c r="U51" s="151">
        <f t="shared" ref="U51:U56" si="38">IF(S51=TIME(17,0,0),"",(S51-T50)*24*60)</f>
        <v>4.9999999999999822</v>
      </c>
      <c r="V51" s="160">
        <f t="shared" si="37"/>
        <v>49.999999999999986</v>
      </c>
      <c r="W51" s="16"/>
      <c r="X51" s="16"/>
      <c r="Y51" s="16"/>
      <c r="Z51" s="16"/>
      <c r="AA51" s="612"/>
      <c r="AB51" s="612"/>
      <c r="AC51" s="18"/>
      <c r="AD51" s="18"/>
      <c r="AE51" s="14">
        <f t="shared" si="8"/>
        <v>-85.999999999999545</v>
      </c>
      <c r="AF51" s="150">
        <f t="shared" si="9"/>
        <v>0.95700000000000018</v>
      </c>
      <c r="AG51" s="616"/>
    </row>
    <row r="52" spans="1:33" ht="15.75" customHeight="1">
      <c r="A52" s="621" t="s">
        <v>564</v>
      </c>
      <c r="B52" s="27" t="s">
        <v>8</v>
      </c>
      <c r="C52" s="605" t="s">
        <v>61</v>
      </c>
      <c r="D52" s="606"/>
      <c r="E52" s="27">
        <v>46</v>
      </c>
      <c r="F52" s="30">
        <v>2958</v>
      </c>
      <c r="G52" s="151">
        <f t="shared" si="35"/>
        <v>136068</v>
      </c>
      <c r="H52" s="31" t="s">
        <v>40</v>
      </c>
      <c r="I52" s="159">
        <v>16</v>
      </c>
      <c r="J52" s="29">
        <v>2000</v>
      </c>
      <c r="K52" s="12">
        <f t="shared" si="1"/>
        <v>125</v>
      </c>
      <c r="L52" s="159">
        <v>16</v>
      </c>
      <c r="M52" s="13">
        <f t="shared" ref="M52:M56" si="39">F52/V52*60</f>
        <v>1908.3870967741939</v>
      </c>
      <c r="N52" s="13">
        <f t="shared" si="3"/>
        <v>119.27419354838712</v>
      </c>
      <c r="O52" s="14">
        <f t="shared" si="4"/>
        <v>0</v>
      </c>
      <c r="P52" s="15">
        <f t="shared" si="5"/>
        <v>-5.7258064516128826</v>
      </c>
      <c r="Q52" s="150">
        <f t="shared" si="6"/>
        <v>0.95419354838709691</v>
      </c>
      <c r="R52" s="616"/>
      <c r="S52" s="32">
        <v>0.30277777777777776</v>
      </c>
      <c r="T52" s="32">
        <v>0.36736111111111108</v>
      </c>
      <c r="U52" s="151">
        <f t="shared" si="38"/>
        <v>5.9999999999999787</v>
      </c>
      <c r="V52" s="160">
        <f t="shared" si="37"/>
        <v>92.999999999999986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-91.612903225806122</v>
      </c>
      <c r="AF52" s="150">
        <f t="shared" si="9"/>
        <v>0.95419354838709691</v>
      </c>
      <c r="AG52" s="616"/>
    </row>
    <row r="53" spans="1:33" ht="15.75" customHeight="1">
      <c r="A53" s="621" t="s">
        <v>563</v>
      </c>
      <c r="B53" s="27" t="s">
        <v>8</v>
      </c>
      <c r="C53" s="155" t="s">
        <v>79</v>
      </c>
      <c r="D53" s="156"/>
      <c r="E53" s="27">
        <v>46</v>
      </c>
      <c r="F53" s="30">
        <v>3487</v>
      </c>
      <c r="G53" s="151">
        <f t="shared" si="35"/>
        <v>160402</v>
      </c>
      <c r="H53" s="31" t="s">
        <v>40</v>
      </c>
      <c r="I53" s="159">
        <v>17</v>
      </c>
      <c r="J53" s="29">
        <v>2000</v>
      </c>
      <c r="K53" s="12">
        <f t="shared" si="1"/>
        <v>117.64705882352941</v>
      </c>
      <c r="L53" s="159">
        <v>17</v>
      </c>
      <c r="M53" s="13">
        <f t="shared" si="39"/>
        <v>1919.4495412844033</v>
      </c>
      <c r="N53" s="13">
        <f t="shared" si="3"/>
        <v>112.90879654614137</v>
      </c>
      <c r="O53" s="14">
        <f t="shared" si="4"/>
        <v>0</v>
      </c>
      <c r="P53" s="15">
        <f t="shared" si="5"/>
        <v>-4.7382622773880314</v>
      </c>
      <c r="Q53" s="150">
        <f t="shared" si="6"/>
        <v>0.95972477064220174</v>
      </c>
      <c r="R53" s="616"/>
      <c r="S53" s="32">
        <v>0.37291666666666662</v>
      </c>
      <c r="T53" s="32">
        <v>0.44861111111111107</v>
      </c>
      <c r="U53" s="151">
        <f t="shared" si="38"/>
        <v>7.9999999999999716</v>
      </c>
      <c r="V53" s="160">
        <f t="shared" si="37"/>
        <v>109.00000000000001</v>
      </c>
      <c r="W53" s="16"/>
      <c r="X53" s="16"/>
      <c r="Y53" s="19"/>
      <c r="Z53" s="19"/>
      <c r="AA53" s="612"/>
      <c r="AB53" s="612"/>
      <c r="AC53" s="18"/>
      <c r="AD53" s="18"/>
      <c r="AE53" s="14">
        <f t="shared" si="8"/>
        <v>-80.550458715596733</v>
      </c>
      <c r="AF53" s="150">
        <f t="shared" si="9"/>
        <v>0.95972477064220163</v>
      </c>
      <c r="AG53" s="616"/>
    </row>
    <row r="54" spans="1:33" ht="15.75" customHeight="1">
      <c r="A54" s="621" t="s">
        <v>184</v>
      </c>
      <c r="B54" s="27" t="s">
        <v>5</v>
      </c>
      <c r="C54" s="155" t="s">
        <v>32</v>
      </c>
      <c r="D54" s="156"/>
      <c r="E54" s="27">
        <v>55.56</v>
      </c>
      <c r="F54" s="30">
        <v>2633</v>
      </c>
      <c r="G54" s="151">
        <f t="shared" si="35"/>
        <v>146289.48000000001</v>
      </c>
      <c r="H54" s="31" t="s">
        <v>40</v>
      </c>
      <c r="I54" s="159">
        <v>17</v>
      </c>
      <c r="J54" s="29">
        <v>2000</v>
      </c>
      <c r="K54" s="12">
        <f t="shared" si="1"/>
        <v>117.64705882352941</v>
      </c>
      <c r="L54" s="159">
        <v>17</v>
      </c>
      <c r="M54" s="13">
        <f t="shared" si="39"/>
        <v>1903.3734939759029</v>
      </c>
      <c r="N54" s="13">
        <f t="shared" si="3"/>
        <v>111.96314670446488</v>
      </c>
      <c r="O54" s="14">
        <f t="shared" si="4"/>
        <v>0</v>
      </c>
      <c r="P54" s="15">
        <f t="shared" si="5"/>
        <v>-5.6839121190645301</v>
      </c>
      <c r="Q54" s="150">
        <f t="shared" si="6"/>
        <v>0.95168674698795153</v>
      </c>
      <c r="R54" s="616"/>
      <c r="S54" s="32">
        <v>0.70833333333333337</v>
      </c>
      <c r="T54" s="32">
        <v>0.76597222222222228</v>
      </c>
      <c r="U54" s="151" t="str">
        <f t="shared" si="38"/>
        <v/>
      </c>
      <c r="V54" s="160">
        <f t="shared" si="37"/>
        <v>83.000000000000028</v>
      </c>
      <c r="W54" s="16"/>
      <c r="X54" s="16"/>
      <c r="Y54" s="19"/>
      <c r="Z54" s="19"/>
      <c r="AA54" s="612"/>
      <c r="AB54" s="612"/>
      <c r="AC54" s="18"/>
      <c r="AD54" s="18"/>
      <c r="AE54" s="14">
        <f t="shared" si="8"/>
        <v>-96.626506024097125</v>
      </c>
      <c r="AF54" s="150">
        <f t="shared" si="9"/>
        <v>0.95168674698795142</v>
      </c>
      <c r="AG54" s="616"/>
    </row>
    <row r="55" spans="1:33" ht="15.75" customHeight="1">
      <c r="A55" s="621" t="s">
        <v>184</v>
      </c>
      <c r="B55" s="27" t="s">
        <v>5</v>
      </c>
      <c r="C55" s="605" t="s">
        <v>77</v>
      </c>
      <c r="D55" s="606"/>
      <c r="E55" s="27">
        <v>54.09</v>
      </c>
      <c r="F55" s="30">
        <v>1633</v>
      </c>
      <c r="G55" s="151">
        <f t="shared" si="35"/>
        <v>88328.97</v>
      </c>
      <c r="H55" s="31" t="s">
        <v>40</v>
      </c>
      <c r="I55" s="159">
        <v>13</v>
      </c>
      <c r="J55" s="29">
        <v>2000</v>
      </c>
      <c r="K55" s="12">
        <f t="shared" si="1"/>
        <v>153.84615384615384</v>
      </c>
      <c r="L55" s="159">
        <v>13</v>
      </c>
      <c r="M55" s="13">
        <f t="shared" si="39"/>
        <v>1921.176470588236</v>
      </c>
      <c r="N55" s="13">
        <f t="shared" si="3"/>
        <v>147.78280542986431</v>
      </c>
      <c r="O55" s="14">
        <f t="shared" si="4"/>
        <v>0</v>
      </c>
      <c r="P55" s="15">
        <f t="shared" si="5"/>
        <v>-6.0633484162895286</v>
      </c>
      <c r="Q55" s="150">
        <f t="shared" si="6"/>
        <v>0.96058823529411808</v>
      </c>
      <c r="R55" s="616"/>
      <c r="S55" s="32">
        <v>0.77013888888888893</v>
      </c>
      <c r="T55" s="32">
        <v>0.80555555555555558</v>
      </c>
      <c r="U55" s="151">
        <f t="shared" si="38"/>
        <v>5.9999999999999787</v>
      </c>
      <c r="V55" s="160">
        <f t="shared" si="37"/>
        <v>50.999999999999979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-78.823529411763957</v>
      </c>
      <c r="AF55" s="150">
        <f t="shared" si="9"/>
        <v>0.96058823529411808</v>
      </c>
      <c r="AG55" s="616"/>
    </row>
    <row r="56" spans="1:33" ht="15.75" customHeight="1">
      <c r="A56" s="621" t="s">
        <v>564</v>
      </c>
      <c r="B56" s="27" t="s">
        <v>5</v>
      </c>
      <c r="C56" s="605" t="s">
        <v>65</v>
      </c>
      <c r="D56" s="606"/>
      <c r="E56" s="27">
        <v>56.43</v>
      </c>
      <c r="F56" s="30">
        <v>1743</v>
      </c>
      <c r="G56" s="151">
        <f t="shared" si="35"/>
        <v>98357.49</v>
      </c>
      <c r="H56" s="31" t="s">
        <v>40</v>
      </c>
      <c r="I56" s="159">
        <v>13</v>
      </c>
      <c r="J56" s="29">
        <v>2000</v>
      </c>
      <c r="K56" s="12">
        <f t="shared" si="1"/>
        <v>153.84615384615384</v>
      </c>
      <c r="L56" s="159">
        <v>13</v>
      </c>
      <c r="M56" s="13">
        <f t="shared" si="39"/>
        <v>1936.6666666666677</v>
      </c>
      <c r="N56" s="13">
        <f t="shared" si="3"/>
        <v>148.97435897435906</v>
      </c>
      <c r="O56" s="14">
        <f t="shared" si="4"/>
        <v>0</v>
      </c>
      <c r="P56" s="15">
        <f t="shared" si="5"/>
        <v>-4.8717948717947763</v>
      </c>
      <c r="Q56" s="150">
        <f t="shared" si="6"/>
        <v>0.96833333333333393</v>
      </c>
      <c r="R56" s="616"/>
      <c r="S56" s="32">
        <v>0.80902777777777779</v>
      </c>
      <c r="T56" s="32">
        <v>0.84652777777777777</v>
      </c>
      <c r="U56" s="151">
        <f t="shared" si="38"/>
        <v>4.9999999999999822</v>
      </c>
      <c r="V56" s="160">
        <f t="shared" si="37"/>
        <v>53.999999999999972</v>
      </c>
      <c r="W56" s="16"/>
      <c r="X56" s="16"/>
      <c r="Y56" s="19"/>
      <c r="Z56" s="19"/>
      <c r="AA56" s="607"/>
      <c r="AB56" s="608"/>
      <c r="AC56" s="18"/>
      <c r="AD56" s="18"/>
      <c r="AE56" s="14">
        <f t="shared" si="8"/>
        <v>-63.333333333332348</v>
      </c>
      <c r="AF56" s="150">
        <f t="shared" si="9"/>
        <v>0.96833333333333382</v>
      </c>
      <c r="AG56" s="616"/>
    </row>
    <row r="57" spans="1:33">
      <c r="A57" s="622" t="s">
        <v>563</v>
      </c>
      <c r="B57" s="27" t="s">
        <v>556</v>
      </c>
      <c r="C57" s="658"/>
      <c r="D57" s="658"/>
      <c r="E57" s="153"/>
      <c r="F57" s="28"/>
      <c r="G57" s="12"/>
      <c r="H57" s="161"/>
      <c r="I57" s="21">
        <v>16.714285714285715</v>
      </c>
      <c r="J57" s="29">
        <v>2000</v>
      </c>
      <c r="K57" s="12">
        <f t="shared" si="1"/>
        <v>119.65811965811965</v>
      </c>
      <c r="L57" s="21">
        <v>16.714285714285715</v>
      </c>
      <c r="M57" s="13">
        <f>AVERAGE(M50:M56)</f>
        <v>1916.2076098984865</v>
      </c>
      <c r="N57" s="12">
        <f t="shared" si="3"/>
        <v>114.64489973751628</v>
      </c>
      <c r="O57" s="14">
        <f t="shared" si="4"/>
        <v>0</v>
      </c>
      <c r="P57" s="15">
        <f t="shared" si="5"/>
        <v>-5.0132199206033619</v>
      </c>
      <c r="Q57" s="150">
        <f t="shared" si="6"/>
        <v>0.9581038049492433</v>
      </c>
      <c r="R57" s="616"/>
      <c r="S57" s="32"/>
      <c r="T57" s="32"/>
      <c r="U57" s="151"/>
      <c r="V57" s="160"/>
      <c r="W57" s="12"/>
      <c r="X57" s="12"/>
      <c r="Y57" s="22">
        <f>SUM(Y50:Y56)</f>
        <v>0</v>
      </c>
      <c r="Z57" s="22">
        <f>SUM(Z50:Z56)</f>
        <v>0</v>
      </c>
      <c r="AA57" s="611"/>
      <c r="AB57" s="611"/>
      <c r="AC57" s="22">
        <v>7</v>
      </c>
      <c r="AD57" s="22">
        <f>SUM(AD50:AD56)</f>
        <v>0</v>
      </c>
      <c r="AE57" s="14">
        <f>M57-J57</f>
        <v>-83.792390101513547</v>
      </c>
      <c r="AF57" s="150">
        <f t="shared" si="9"/>
        <v>0.95810380494924319</v>
      </c>
      <c r="AG57" s="616"/>
    </row>
    <row r="58" spans="1:33" ht="15.75" customHeight="1">
      <c r="A58" s="617" t="s">
        <v>187</v>
      </c>
      <c r="B58" s="161" t="s">
        <v>27</v>
      </c>
      <c r="C58" s="660" t="s">
        <v>28</v>
      </c>
      <c r="D58" s="660"/>
      <c r="E58" s="27">
        <v>35.119999999999997</v>
      </c>
      <c r="F58" s="30">
        <v>6139</v>
      </c>
      <c r="G58" s="151">
        <f t="shared" ref="G58:G61" si="40">E58*F58</f>
        <v>215601.68</v>
      </c>
      <c r="H58" s="31" t="s">
        <v>40</v>
      </c>
      <c r="I58" s="159">
        <v>10</v>
      </c>
      <c r="J58" s="29">
        <v>3000</v>
      </c>
      <c r="K58" s="12">
        <f t="shared" si="1"/>
        <v>300</v>
      </c>
      <c r="L58" s="159">
        <v>10</v>
      </c>
      <c r="M58" s="13">
        <f t="shared" ref="M58:M61" si="41">F58/V58*60</f>
        <v>2855.3488372093029</v>
      </c>
      <c r="N58" s="12">
        <f t="shared" si="3"/>
        <v>285.53488372093028</v>
      </c>
      <c r="O58" s="14">
        <f t="shared" si="4"/>
        <v>0</v>
      </c>
      <c r="P58" s="15">
        <f t="shared" si="5"/>
        <v>-14.465116279069719</v>
      </c>
      <c r="Q58" s="150">
        <f t="shared" si="6"/>
        <v>0.95178294573643429</v>
      </c>
      <c r="R58" s="616">
        <f>Q62</f>
        <v>0.95842091902195026</v>
      </c>
      <c r="S58" s="32">
        <v>0.20833333333333334</v>
      </c>
      <c r="T58" s="32">
        <v>0.29791666666666666</v>
      </c>
      <c r="U58" s="151"/>
      <c r="V58" s="160">
        <f t="shared" ref="V58:V61" si="42">(T58-S58)*24*60</f>
        <v>128.99999999999997</v>
      </c>
      <c r="W58" s="16"/>
      <c r="X58" s="16"/>
      <c r="Y58" s="20"/>
      <c r="Z58" s="20"/>
      <c r="AA58" s="612"/>
      <c r="AB58" s="612"/>
      <c r="AC58" s="18">
        <v>4</v>
      </c>
      <c r="AD58" s="18"/>
      <c r="AE58" s="14">
        <f t="shared" ref="AE58:AE71" si="43">M58-J58</f>
        <v>-144.65116279069707</v>
      </c>
      <c r="AF58" s="150">
        <f t="shared" si="9"/>
        <v>0.95178294573643429</v>
      </c>
      <c r="AG58" s="616">
        <f>AF62</f>
        <v>0.95842091902195037</v>
      </c>
    </row>
    <row r="59" spans="1:33" ht="15.75" customHeight="1">
      <c r="A59" s="617" t="s">
        <v>565</v>
      </c>
      <c r="B59" s="161" t="s">
        <v>27</v>
      </c>
      <c r="C59" s="660" t="s">
        <v>34</v>
      </c>
      <c r="D59" s="660"/>
      <c r="E59" s="27">
        <v>26.78</v>
      </c>
      <c r="F59" s="30">
        <v>2779</v>
      </c>
      <c r="G59" s="151">
        <f t="shared" si="40"/>
        <v>74421.62000000001</v>
      </c>
      <c r="H59" s="31" t="s">
        <v>40</v>
      </c>
      <c r="I59" s="159">
        <v>10</v>
      </c>
      <c r="J59" s="29">
        <v>3000</v>
      </c>
      <c r="K59" s="12">
        <f t="shared" si="1"/>
        <v>300</v>
      </c>
      <c r="L59" s="159">
        <v>10</v>
      </c>
      <c r="M59" s="13">
        <f t="shared" si="41"/>
        <v>2874.8275862068949</v>
      </c>
      <c r="N59" s="12">
        <f t="shared" si="3"/>
        <v>287.48275862068948</v>
      </c>
      <c r="O59" s="14">
        <f t="shared" si="4"/>
        <v>0</v>
      </c>
      <c r="P59" s="15">
        <f t="shared" si="5"/>
        <v>-12.517241379310519</v>
      </c>
      <c r="Q59" s="150">
        <f t="shared" si="6"/>
        <v>0.95827586206896498</v>
      </c>
      <c r="R59" s="616"/>
      <c r="S59" s="32">
        <v>0.30208333333333331</v>
      </c>
      <c r="T59" s="32">
        <v>0.34236111111111112</v>
      </c>
      <c r="U59" s="151">
        <f t="shared" ref="U59:U61" si="44">(S59-T58)*24*60</f>
        <v>5.9999999999999787</v>
      </c>
      <c r="V59" s="160">
        <f t="shared" si="42"/>
        <v>58.000000000000036</v>
      </c>
      <c r="W59" s="151"/>
      <c r="X59" s="151"/>
      <c r="Y59" s="151"/>
      <c r="Z59" s="151"/>
      <c r="AA59" s="612"/>
      <c r="AB59" s="612"/>
      <c r="AC59" s="18"/>
      <c r="AD59" s="18"/>
      <c r="AE59" s="14">
        <f t="shared" si="43"/>
        <v>-125.17241379310508</v>
      </c>
      <c r="AF59" s="150">
        <f t="shared" si="9"/>
        <v>0.95827586206896498</v>
      </c>
      <c r="AG59" s="616"/>
    </row>
    <row r="60" spans="1:33" ht="15.75" customHeight="1">
      <c r="A60" s="617" t="s">
        <v>187</v>
      </c>
      <c r="B60" s="161" t="s">
        <v>27</v>
      </c>
      <c r="C60" s="660" t="s">
        <v>35</v>
      </c>
      <c r="D60" s="660"/>
      <c r="E60" s="27">
        <v>35.869999999999997</v>
      </c>
      <c r="F60" s="30">
        <v>3506</v>
      </c>
      <c r="G60" s="151">
        <f t="shared" si="40"/>
        <v>125760.21999999999</v>
      </c>
      <c r="H60" s="31" t="s">
        <v>40</v>
      </c>
      <c r="I60" s="159">
        <v>9</v>
      </c>
      <c r="J60" s="29">
        <v>3000</v>
      </c>
      <c r="K60" s="12">
        <f t="shared" si="1"/>
        <v>333.33333333333331</v>
      </c>
      <c r="L60" s="159">
        <v>9</v>
      </c>
      <c r="M60" s="13">
        <f t="shared" si="41"/>
        <v>2881.6438356164385</v>
      </c>
      <c r="N60" s="12">
        <f t="shared" si="3"/>
        <v>320.1826484018265</v>
      </c>
      <c r="O60" s="14">
        <f t="shared" si="4"/>
        <v>0</v>
      </c>
      <c r="P60" s="15">
        <f t="shared" si="5"/>
        <v>-13.150684931506817</v>
      </c>
      <c r="Q60" s="150">
        <f t="shared" si="6"/>
        <v>0.96054794520547959</v>
      </c>
      <c r="R60" s="616"/>
      <c r="S60" s="32">
        <v>0.34791666666666665</v>
      </c>
      <c r="T60" s="32">
        <v>0.39861111111111108</v>
      </c>
      <c r="U60" s="151">
        <f t="shared" si="44"/>
        <v>7.9999999999999716</v>
      </c>
      <c r="V60" s="160">
        <f t="shared" si="42"/>
        <v>72.999999999999986</v>
      </c>
      <c r="W60" s="151"/>
      <c r="X60" s="151"/>
      <c r="Y60" s="151"/>
      <c r="Z60" s="151"/>
      <c r="AA60" s="612"/>
      <c r="AB60" s="612"/>
      <c r="AC60" s="18"/>
      <c r="AD60" s="18"/>
      <c r="AE60" s="14">
        <f t="shared" si="43"/>
        <v>-118.35616438356146</v>
      </c>
      <c r="AF60" s="150">
        <f t="shared" si="9"/>
        <v>0.96054794520547948</v>
      </c>
      <c r="AG60" s="616"/>
    </row>
    <row r="61" spans="1:33" ht="15.75" customHeight="1">
      <c r="A61" s="617" t="s">
        <v>565</v>
      </c>
      <c r="B61" s="161" t="s">
        <v>27</v>
      </c>
      <c r="C61" s="660" t="s">
        <v>36</v>
      </c>
      <c r="D61" s="660"/>
      <c r="E61" s="27">
        <v>34.35</v>
      </c>
      <c r="F61" s="30">
        <v>1878</v>
      </c>
      <c r="G61" s="151">
        <f t="shared" si="40"/>
        <v>64509.3</v>
      </c>
      <c r="H61" s="31" t="s">
        <v>40</v>
      </c>
      <c r="I61" s="159">
        <v>8</v>
      </c>
      <c r="J61" s="29">
        <v>3000</v>
      </c>
      <c r="K61" s="12">
        <f t="shared" si="1"/>
        <v>375</v>
      </c>
      <c r="L61" s="159">
        <v>8</v>
      </c>
      <c r="M61" s="13">
        <f t="shared" si="41"/>
        <v>2889.2307692307677</v>
      </c>
      <c r="N61" s="12">
        <f t="shared" si="3"/>
        <v>361.15384615384596</v>
      </c>
      <c r="O61" s="14">
        <f t="shared" si="4"/>
        <v>0</v>
      </c>
      <c r="P61" s="15">
        <f t="shared" si="5"/>
        <v>-13.846153846154039</v>
      </c>
      <c r="Q61" s="150">
        <f t="shared" si="6"/>
        <v>0.96307692307692261</v>
      </c>
      <c r="R61" s="616"/>
      <c r="S61" s="32">
        <v>0.40277777777777773</v>
      </c>
      <c r="T61" s="32">
        <v>0.42986111111111108</v>
      </c>
      <c r="U61" s="151">
        <f t="shared" si="44"/>
        <v>5.9999999999999787</v>
      </c>
      <c r="V61" s="160">
        <f t="shared" si="42"/>
        <v>39.000000000000021</v>
      </c>
      <c r="W61" s="151"/>
      <c r="X61" s="151"/>
      <c r="Y61" s="151"/>
      <c r="Z61" s="151"/>
      <c r="AA61" s="612"/>
      <c r="AB61" s="612"/>
      <c r="AC61" s="18"/>
      <c r="AD61" s="18"/>
      <c r="AE61" s="14">
        <f t="shared" si="43"/>
        <v>-110.76923076923231</v>
      </c>
      <c r="AF61" s="150">
        <f t="shared" si="9"/>
        <v>0.96307692307692261</v>
      </c>
      <c r="AG61" s="616"/>
    </row>
    <row r="62" spans="1:33">
      <c r="A62" s="618" t="s">
        <v>565</v>
      </c>
      <c r="B62" s="27" t="s">
        <v>556</v>
      </c>
      <c r="C62" s="658"/>
      <c r="D62" s="658"/>
      <c r="E62" s="153"/>
      <c r="F62" s="28"/>
      <c r="G62" s="12"/>
      <c r="H62" s="161"/>
      <c r="I62" s="21">
        <v>9.25</v>
      </c>
      <c r="J62" s="29">
        <v>3000</v>
      </c>
      <c r="K62" s="12">
        <f t="shared" si="1"/>
        <v>324.32432432432432</v>
      </c>
      <c r="L62" s="21">
        <v>9.25</v>
      </c>
      <c r="M62" s="13">
        <f>AVERAGE(M58:M61)</f>
        <v>2875.262757065851</v>
      </c>
      <c r="N62" s="12">
        <f t="shared" si="3"/>
        <v>310.83921698009198</v>
      </c>
      <c r="O62" s="14">
        <f t="shared" si="4"/>
        <v>0</v>
      </c>
      <c r="P62" s="15">
        <f t="shared" si="5"/>
        <v>-13.485107344232347</v>
      </c>
      <c r="Q62" s="150">
        <f t="shared" si="6"/>
        <v>0.95842091902195026</v>
      </c>
      <c r="R62" s="616"/>
      <c r="S62" s="32"/>
      <c r="T62" s="32"/>
      <c r="U62" s="12"/>
      <c r="V62" s="160"/>
      <c r="W62" s="12"/>
      <c r="X62" s="12"/>
      <c r="Y62" s="22">
        <f>SUM(Y58:Y61)</f>
        <v>0</v>
      </c>
      <c r="Z62" s="22">
        <f>SUM(Z58:Z61)</f>
        <v>0</v>
      </c>
      <c r="AA62" s="611"/>
      <c r="AB62" s="611"/>
      <c r="AC62" s="22">
        <v>4</v>
      </c>
      <c r="AD62" s="22">
        <f>SUM(AD58:AD61)</f>
        <v>0</v>
      </c>
      <c r="AE62" s="14">
        <f t="shared" si="43"/>
        <v>-124.73724293414898</v>
      </c>
      <c r="AF62" s="150">
        <f t="shared" si="9"/>
        <v>0.95842091902195037</v>
      </c>
      <c r="AG62" s="616"/>
    </row>
    <row r="63" spans="1:33" ht="15.75" customHeight="1">
      <c r="A63" s="613" t="s">
        <v>566</v>
      </c>
      <c r="B63" s="161" t="s">
        <v>20</v>
      </c>
      <c r="C63" s="660" t="s">
        <v>39</v>
      </c>
      <c r="D63" s="660"/>
      <c r="E63" s="27">
        <v>19.02</v>
      </c>
      <c r="F63" s="161">
        <v>6200</v>
      </c>
      <c r="G63" s="151">
        <f t="shared" ref="G63:G70" si="45">E63*F63</f>
        <v>117924</v>
      </c>
      <c r="H63" s="31">
        <v>2</v>
      </c>
      <c r="I63" s="159">
        <v>14</v>
      </c>
      <c r="J63" s="29">
        <v>2400</v>
      </c>
      <c r="K63" s="12">
        <f t="shared" si="1"/>
        <v>171.42857142857142</v>
      </c>
      <c r="L63" s="159">
        <v>14</v>
      </c>
      <c r="M63" s="13">
        <f t="shared" ref="M63:M70" si="46">F63/V63*60</f>
        <v>2296.2962962962965</v>
      </c>
      <c r="N63" s="12">
        <f t="shared" si="3"/>
        <v>164.02116402116403</v>
      </c>
      <c r="O63" s="14">
        <f t="shared" si="4"/>
        <v>0</v>
      </c>
      <c r="P63" s="15">
        <f t="shared" si="5"/>
        <v>-7.4074074074073906</v>
      </c>
      <c r="Q63" s="150">
        <f t="shared" si="6"/>
        <v>0.95679012345679026</v>
      </c>
      <c r="R63" s="616">
        <f>Q71</f>
        <v>0.95728625234207287</v>
      </c>
      <c r="S63" s="32">
        <v>8.3333333333333329E-2</v>
      </c>
      <c r="T63" s="32">
        <v>0.19583333333333333</v>
      </c>
      <c r="U63" s="20"/>
      <c r="V63" s="160">
        <f t="shared" ref="V63:V70" si="47">(T63-S63)*24*60</f>
        <v>162</v>
      </c>
      <c r="W63" s="16">
        <f>T63</f>
        <v>0.19583333333333333</v>
      </c>
      <c r="X63" s="16">
        <f>S64</f>
        <v>0.21597222222222223</v>
      </c>
      <c r="Y63" s="16"/>
      <c r="Z63" s="16"/>
      <c r="AA63" s="612"/>
      <c r="AB63" s="612"/>
      <c r="AC63" s="18">
        <v>8</v>
      </c>
      <c r="AD63" s="18"/>
      <c r="AE63" s="14">
        <f t="shared" si="43"/>
        <v>-103.70370370370347</v>
      </c>
      <c r="AF63" s="150">
        <f t="shared" si="9"/>
        <v>0.95679012345679026</v>
      </c>
      <c r="AG63" s="616">
        <f>AF71</f>
        <v>0.95728625234207276</v>
      </c>
    </row>
    <row r="64" spans="1:33" ht="15.75" customHeight="1">
      <c r="A64" s="614" t="s">
        <v>567</v>
      </c>
      <c r="B64" s="161" t="s">
        <v>20</v>
      </c>
      <c r="C64" s="660" t="s">
        <v>24</v>
      </c>
      <c r="D64" s="660"/>
      <c r="E64" s="27">
        <v>20.36</v>
      </c>
      <c r="F64" s="161">
        <v>5087</v>
      </c>
      <c r="G64" s="151">
        <f t="shared" si="45"/>
        <v>103571.31999999999</v>
      </c>
      <c r="H64" s="31" t="s">
        <v>40</v>
      </c>
      <c r="I64" s="159">
        <v>17</v>
      </c>
      <c r="J64" s="29">
        <v>2400</v>
      </c>
      <c r="K64" s="12">
        <f t="shared" si="1"/>
        <v>141.1764705882353</v>
      </c>
      <c r="L64" s="159">
        <v>17</v>
      </c>
      <c r="M64" s="13">
        <f t="shared" si="46"/>
        <v>2294.8872180451126</v>
      </c>
      <c r="N64" s="12">
        <f t="shared" si="3"/>
        <v>134.99336576735956</v>
      </c>
      <c r="O64" s="14">
        <f t="shared" si="4"/>
        <v>0</v>
      </c>
      <c r="P64" s="15">
        <f t="shared" si="5"/>
        <v>-6.1831048208757409</v>
      </c>
      <c r="Q64" s="150">
        <f t="shared" si="6"/>
        <v>0.95620300751879683</v>
      </c>
      <c r="R64" s="616"/>
      <c r="S64" s="32">
        <v>0.21597222222222223</v>
      </c>
      <c r="T64" s="32">
        <v>0.30833333333333335</v>
      </c>
      <c r="U64" s="151">
        <f t="shared" ref="U64:U70" si="48">(S64-T63)*24*60</f>
        <v>29.000000000000018</v>
      </c>
      <c r="V64" s="160">
        <f t="shared" si="47"/>
        <v>133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-105.1127819548874</v>
      </c>
      <c r="AF64" s="150">
        <f t="shared" si="9"/>
        <v>0.95620300751879694</v>
      </c>
      <c r="AG64" s="616"/>
    </row>
    <row r="65" spans="1:33" ht="15.75" customHeight="1">
      <c r="A65" s="614" t="s">
        <v>73</v>
      </c>
      <c r="B65" s="161" t="s">
        <v>20</v>
      </c>
      <c r="C65" s="660" t="s">
        <v>59</v>
      </c>
      <c r="D65" s="660"/>
      <c r="E65" s="27">
        <v>25.99</v>
      </c>
      <c r="F65" s="161">
        <v>1852</v>
      </c>
      <c r="G65" s="151">
        <f t="shared" si="45"/>
        <v>48133.479999999996</v>
      </c>
      <c r="H65" s="31" t="s">
        <v>40</v>
      </c>
      <c r="I65" s="159">
        <v>18</v>
      </c>
      <c r="J65" s="29">
        <v>2400</v>
      </c>
      <c r="K65" s="12">
        <f t="shared" si="1"/>
        <v>133.33333333333334</v>
      </c>
      <c r="L65" s="159">
        <v>18</v>
      </c>
      <c r="M65" s="13">
        <f t="shared" si="46"/>
        <v>2315.0000000000005</v>
      </c>
      <c r="N65" s="12">
        <f t="shared" si="3"/>
        <v>128.61111111111114</v>
      </c>
      <c r="O65" s="14">
        <f t="shared" si="4"/>
        <v>0</v>
      </c>
      <c r="P65" s="15">
        <f t="shared" si="5"/>
        <v>-4.7222222222222001</v>
      </c>
      <c r="Q65" s="150">
        <f t="shared" si="6"/>
        <v>0.96458333333333346</v>
      </c>
      <c r="R65" s="616"/>
      <c r="S65" s="32">
        <v>0.31388888888888888</v>
      </c>
      <c r="T65" s="32">
        <v>0.34722222222222221</v>
      </c>
      <c r="U65" s="151">
        <f t="shared" si="48"/>
        <v>7.9999999999999716</v>
      </c>
      <c r="V65" s="160">
        <f t="shared" si="47"/>
        <v>47.999999999999986</v>
      </c>
      <c r="W65" s="16"/>
      <c r="X65" s="16"/>
      <c r="Y65" s="16"/>
      <c r="Z65" s="16"/>
      <c r="AA65" s="612"/>
      <c r="AB65" s="612"/>
      <c r="AC65" s="18"/>
      <c r="AD65" s="18"/>
      <c r="AE65" s="14">
        <f t="shared" si="43"/>
        <v>-84.999999999999545</v>
      </c>
      <c r="AF65" s="150">
        <f t="shared" si="9"/>
        <v>0.96458333333333357</v>
      </c>
      <c r="AG65" s="616"/>
    </row>
    <row r="66" spans="1:33" ht="15.75" customHeight="1">
      <c r="A66" s="614" t="s">
        <v>566</v>
      </c>
      <c r="B66" s="161" t="s">
        <v>20</v>
      </c>
      <c r="C66" s="660" t="s">
        <v>38</v>
      </c>
      <c r="D66" s="660"/>
      <c r="E66" s="27">
        <v>22.69</v>
      </c>
      <c r="F66" s="161">
        <v>3031</v>
      </c>
      <c r="G66" s="151">
        <f t="shared" si="45"/>
        <v>68773.39</v>
      </c>
      <c r="H66" s="31" t="s">
        <v>40</v>
      </c>
      <c r="I66" s="159">
        <v>15</v>
      </c>
      <c r="J66" s="29">
        <v>2400</v>
      </c>
      <c r="K66" s="12">
        <f t="shared" si="1"/>
        <v>160</v>
      </c>
      <c r="L66" s="159">
        <v>15</v>
      </c>
      <c r="M66" s="13">
        <f t="shared" si="46"/>
        <v>2302.0253164556948</v>
      </c>
      <c r="N66" s="12">
        <f t="shared" si="3"/>
        <v>153.46835443037966</v>
      </c>
      <c r="O66" s="14">
        <f t="shared" si="4"/>
        <v>0</v>
      </c>
      <c r="P66" s="15">
        <f t="shared" si="5"/>
        <v>-6.5316455696203377</v>
      </c>
      <c r="Q66" s="150">
        <f t="shared" si="6"/>
        <v>0.95917721518987287</v>
      </c>
      <c r="R66" s="616"/>
      <c r="S66" s="32">
        <v>0.35138888888888886</v>
      </c>
      <c r="T66" s="32">
        <v>0.40625</v>
      </c>
      <c r="U66" s="151">
        <f t="shared" si="48"/>
        <v>5.9999999999999787</v>
      </c>
      <c r="V66" s="160">
        <f t="shared" si="47"/>
        <v>79.000000000000043</v>
      </c>
      <c r="W66" s="16"/>
      <c r="X66" s="16"/>
      <c r="Y66" s="16"/>
      <c r="Z66" s="16"/>
      <c r="AA66" s="612"/>
      <c r="AB66" s="612"/>
      <c r="AC66" s="18"/>
      <c r="AD66" s="18"/>
      <c r="AE66" s="14">
        <f t="shared" si="43"/>
        <v>-97.974683544305208</v>
      </c>
      <c r="AF66" s="150">
        <f t="shared" si="9"/>
        <v>0.95917721518987287</v>
      </c>
      <c r="AG66" s="616"/>
    </row>
    <row r="67" spans="1:33" ht="15.75" customHeight="1">
      <c r="A67" s="614" t="s">
        <v>73</v>
      </c>
      <c r="B67" s="161" t="s">
        <v>20</v>
      </c>
      <c r="C67" s="660" t="s">
        <v>80</v>
      </c>
      <c r="D67" s="660"/>
      <c r="E67" s="27">
        <v>25.98</v>
      </c>
      <c r="F67" s="161">
        <v>4772</v>
      </c>
      <c r="G67" s="151">
        <f t="shared" si="45"/>
        <v>123976.56</v>
      </c>
      <c r="H67" s="31" t="s">
        <v>40</v>
      </c>
      <c r="I67" s="159">
        <v>17</v>
      </c>
      <c r="J67" s="29">
        <v>2400</v>
      </c>
      <c r="K67" s="12">
        <f t="shared" si="1"/>
        <v>141.1764705882353</v>
      </c>
      <c r="L67" s="159">
        <v>17</v>
      </c>
      <c r="M67" s="13">
        <f t="shared" si="46"/>
        <v>2290.5599999999995</v>
      </c>
      <c r="N67" s="12">
        <f t="shared" si="3"/>
        <v>134.73882352941175</v>
      </c>
      <c r="O67" s="14">
        <f t="shared" si="4"/>
        <v>0</v>
      </c>
      <c r="P67" s="15">
        <f t="shared" si="5"/>
        <v>-6.4376470588235577</v>
      </c>
      <c r="Q67" s="150">
        <f t="shared" si="6"/>
        <v>0.9543999999999998</v>
      </c>
      <c r="R67" s="616"/>
      <c r="S67" s="32">
        <v>0.41180555555555554</v>
      </c>
      <c r="T67" s="32">
        <v>0.49861111111111112</v>
      </c>
      <c r="U67" s="151">
        <f t="shared" si="48"/>
        <v>7.9999999999999716</v>
      </c>
      <c r="V67" s="160">
        <f t="shared" si="47"/>
        <v>125.00000000000003</v>
      </c>
      <c r="W67" s="16">
        <f>T67</f>
        <v>0.49861111111111112</v>
      </c>
      <c r="X67" s="16">
        <f>S68</f>
        <v>0.53888888888888886</v>
      </c>
      <c r="Y67" s="16"/>
      <c r="Z67" s="16"/>
      <c r="AA67" s="612"/>
      <c r="AB67" s="612"/>
      <c r="AC67" s="18"/>
      <c r="AD67" s="18"/>
      <c r="AE67" s="14">
        <f t="shared" si="43"/>
        <v>-109.44000000000051</v>
      </c>
      <c r="AF67" s="150">
        <f t="shared" si="9"/>
        <v>0.9543999999999998</v>
      </c>
      <c r="AG67" s="616"/>
    </row>
    <row r="68" spans="1:33" ht="15.75" customHeight="1">
      <c r="A68" s="614" t="s">
        <v>73</v>
      </c>
      <c r="B68" s="161" t="s">
        <v>20</v>
      </c>
      <c r="C68" s="660" t="s">
        <v>39</v>
      </c>
      <c r="D68" s="660"/>
      <c r="E68" s="27">
        <v>19.02</v>
      </c>
      <c r="F68" s="161">
        <v>5273</v>
      </c>
      <c r="G68" s="151">
        <f t="shared" si="45"/>
        <v>100292.45999999999</v>
      </c>
      <c r="H68" s="31" t="s">
        <v>40</v>
      </c>
      <c r="I68" s="159">
        <v>14</v>
      </c>
      <c r="J68" s="29">
        <v>2400</v>
      </c>
      <c r="K68" s="12">
        <f t="shared" si="1"/>
        <v>171.42857142857142</v>
      </c>
      <c r="L68" s="159">
        <v>14</v>
      </c>
      <c r="M68" s="13">
        <f t="shared" si="46"/>
        <v>2292.608695652174</v>
      </c>
      <c r="N68" s="12">
        <f t="shared" si="3"/>
        <v>163.75776397515529</v>
      </c>
      <c r="O68" s="14">
        <f t="shared" si="4"/>
        <v>0</v>
      </c>
      <c r="P68" s="15">
        <f t="shared" si="5"/>
        <v>-7.6708074534161312</v>
      </c>
      <c r="Q68" s="150">
        <f t="shared" si="6"/>
        <v>0.9552536231884059</v>
      </c>
      <c r="R68" s="616"/>
      <c r="S68" s="32">
        <v>0.53888888888888886</v>
      </c>
      <c r="T68" s="32">
        <v>0.63472222222222219</v>
      </c>
      <c r="U68" s="151">
        <f t="shared" si="48"/>
        <v>57.999999999999957</v>
      </c>
      <c r="V68" s="160">
        <f t="shared" si="47"/>
        <v>138</v>
      </c>
      <c r="W68" s="16"/>
      <c r="X68" s="16"/>
      <c r="Y68" s="16"/>
      <c r="Z68" s="16"/>
      <c r="AA68" s="612"/>
      <c r="AB68" s="612"/>
      <c r="AC68" s="18"/>
      <c r="AD68" s="18"/>
      <c r="AE68" s="14">
        <f t="shared" si="43"/>
        <v>-107.39130434782601</v>
      </c>
      <c r="AF68" s="150">
        <f t="shared" si="9"/>
        <v>0.95525362318840579</v>
      </c>
      <c r="AG68" s="616"/>
    </row>
    <row r="69" spans="1:33" ht="15.75" customHeight="1">
      <c r="A69" s="614" t="s">
        <v>566</v>
      </c>
      <c r="B69" s="161" t="s">
        <v>20</v>
      </c>
      <c r="C69" s="605" t="s">
        <v>23</v>
      </c>
      <c r="D69" s="606"/>
      <c r="E69" s="27">
        <v>25.99</v>
      </c>
      <c r="F69" s="161">
        <v>2075</v>
      </c>
      <c r="G69" s="151">
        <f t="shared" si="45"/>
        <v>53929.25</v>
      </c>
      <c r="H69" s="31" t="s">
        <v>40</v>
      </c>
      <c r="I69" s="159">
        <v>14</v>
      </c>
      <c r="J69" s="29">
        <v>2400</v>
      </c>
      <c r="K69" s="12">
        <f t="shared" ref="K69:K71" si="49">J69/I69</f>
        <v>171.42857142857142</v>
      </c>
      <c r="L69" s="159">
        <v>14</v>
      </c>
      <c r="M69" s="13">
        <f t="shared" si="46"/>
        <v>2305.5555555555566</v>
      </c>
      <c r="N69" s="12">
        <f t="shared" ref="N69:N71" si="50">M69/L69</f>
        <v>164.68253968253975</v>
      </c>
      <c r="O69" s="14">
        <f t="shared" ref="O69:O71" si="51">L69-I69</f>
        <v>0</v>
      </c>
      <c r="P69" s="15">
        <f t="shared" ref="P69:P71" si="52">N69-K69</f>
        <v>-6.7460317460316617</v>
      </c>
      <c r="Q69" s="150">
        <f t="shared" ref="Q69:Q71" si="53">N69/K69</f>
        <v>0.96064814814814858</v>
      </c>
      <c r="R69" s="616"/>
      <c r="S69" s="32">
        <v>0.63958333333333328</v>
      </c>
      <c r="T69" s="32">
        <v>0.67708333333333326</v>
      </c>
      <c r="U69" s="151">
        <f t="shared" si="48"/>
        <v>6.9999999999999751</v>
      </c>
      <c r="V69" s="160">
        <f t="shared" si="47"/>
        <v>53.999999999999972</v>
      </c>
      <c r="W69" s="16"/>
      <c r="X69" s="16"/>
      <c r="Y69" s="19"/>
      <c r="Z69" s="19"/>
      <c r="AA69" s="607"/>
      <c r="AB69" s="608"/>
      <c r="AC69" s="18"/>
      <c r="AD69" s="18"/>
      <c r="AE69" s="14">
        <f t="shared" si="43"/>
        <v>-94.444444444443434</v>
      </c>
      <c r="AF69" s="150">
        <f t="shared" ref="AF69:AF71" si="54">M69/J69</f>
        <v>0.96064814814814858</v>
      </c>
      <c r="AG69" s="616"/>
    </row>
    <row r="70" spans="1:33" ht="15.75" customHeight="1">
      <c r="A70" s="614" t="s">
        <v>567</v>
      </c>
      <c r="B70" s="161" t="s">
        <v>20</v>
      </c>
      <c r="C70" s="605" t="s">
        <v>22</v>
      </c>
      <c r="D70" s="606"/>
      <c r="E70" s="27">
        <v>26.37</v>
      </c>
      <c r="F70" s="161">
        <v>3082</v>
      </c>
      <c r="G70" s="151">
        <f t="shared" si="45"/>
        <v>81272.34</v>
      </c>
      <c r="H70" s="31" t="s">
        <v>40</v>
      </c>
      <c r="I70" s="159">
        <v>18</v>
      </c>
      <c r="J70" s="29">
        <v>2400</v>
      </c>
      <c r="K70" s="12">
        <f t="shared" si="49"/>
        <v>133.33333333333334</v>
      </c>
      <c r="L70" s="159">
        <v>18</v>
      </c>
      <c r="M70" s="13">
        <f t="shared" si="46"/>
        <v>2282.9629629629621</v>
      </c>
      <c r="N70" s="12">
        <f t="shared" si="50"/>
        <v>126.83127572016457</v>
      </c>
      <c r="O70" s="14">
        <f t="shared" si="51"/>
        <v>0</v>
      </c>
      <c r="P70" s="15">
        <f t="shared" si="52"/>
        <v>-6.5020576131687733</v>
      </c>
      <c r="Q70" s="150">
        <f t="shared" si="53"/>
        <v>0.95123456790123417</v>
      </c>
      <c r="R70" s="616"/>
      <c r="S70" s="32">
        <v>0.68194444444444435</v>
      </c>
      <c r="T70" s="32">
        <v>0.73819444444444438</v>
      </c>
      <c r="U70" s="151">
        <f t="shared" si="48"/>
        <v>6.9999999999999751</v>
      </c>
      <c r="V70" s="160">
        <f t="shared" si="47"/>
        <v>81.000000000000028</v>
      </c>
      <c r="W70" s="16"/>
      <c r="X70" s="16"/>
      <c r="Y70" s="19"/>
      <c r="Z70" s="19"/>
      <c r="AA70" s="607"/>
      <c r="AB70" s="608"/>
      <c r="AC70" s="18"/>
      <c r="AD70" s="18"/>
      <c r="AE70" s="14">
        <f t="shared" si="43"/>
        <v>-117.03703703703786</v>
      </c>
      <c r="AF70" s="150">
        <f t="shared" si="54"/>
        <v>0.95123456790123417</v>
      </c>
      <c r="AG70" s="616"/>
    </row>
    <row r="71" spans="1:33" ht="16.5" customHeight="1">
      <c r="A71" s="615" t="s">
        <v>567</v>
      </c>
      <c r="B71" s="27" t="s">
        <v>174</v>
      </c>
      <c r="C71" s="609"/>
      <c r="D71" s="610"/>
      <c r="E71" s="153"/>
      <c r="F71" s="28"/>
      <c r="G71" s="12"/>
      <c r="H71" s="161"/>
      <c r="I71" s="21">
        <v>15.875</v>
      </c>
      <c r="J71" s="29">
        <v>2400</v>
      </c>
      <c r="K71" s="12">
        <f t="shared" si="49"/>
        <v>151.18110236220471</v>
      </c>
      <c r="L71" s="21">
        <v>15.875</v>
      </c>
      <c r="M71" s="13">
        <f>AVERAGE(M63:M70)</f>
        <v>2297.4870056209747</v>
      </c>
      <c r="N71" s="12">
        <f t="shared" si="50"/>
        <v>144.72359090525825</v>
      </c>
      <c r="O71" s="14">
        <f t="shared" si="51"/>
        <v>0</v>
      </c>
      <c r="P71" s="15">
        <f t="shared" si="52"/>
        <v>-6.4575114569464631</v>
      </c>
      <c r="Q71" s="150">
        <f t="shared" si="53"/>
        <v>0.95728625234207287</v>
      </c>
      <c r="R71" s="616"/>
      <c r="S71" s="32"/>
      <c r="T71" s="32"/>
      <c r="U71" s="12"/>
      <c r="V71" s="160"/>
      <c r="W71" s="12"/>
      <c r="X71" s="12"/>
      <c r="Y71" s="22">
        <f>SUM(Y63:Y70)</f>
        <v>0</v>
      </c>
      <c r="Z71" s="22">
        <f>SUM(Z63:Z70)</f>
        <v>0</v>
      </c>
      <c r="AA71" s="611"/>
      <c r="AB71" s="611"/>
      <c r="AC71" s="22">
        <v>8</v>
      </c>
      <c r="AD71" s="22">
        <f>SUM(AD63:AD70)</f>
        <v>0</v>
      </c>
      <c r="AE71" s="14">
        <f t="shared" si="43"/>
        <v>-102.51299437902526</v>
      </c>
      <c r="AF71" s="150">
        <f t="shared" si="54"/>
        <v>0.95728625234207276</v>
      </c>
      <c r="AG71" s="616"/>
    </row>
    <row r="72" spans="1:33">
      <c r="D72" s="23"/>
      <c r="E72" s="23"/>
    </row>
  </sheetData>
  <mergeCells count="191">
    <mergeCell ref="A63:A71"/>
    <mergeCell ref="C63:D63"/>
    <mergeCell ref="R63:R71"/>
    <mergeCell ref="AA63:AB63"/>
    <mergeCell ref="AG63:AG71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AA66:AB66"/>
    <mergeCell ref="C67:D67"/>
    <mergeCell ref="AA67:AB67"/>
    <mergeCell ref="C68:D68"/>
    <mergeCell ref="AA68:AB68"/>
    <mergeCell ref="C69:D69"/>
    <mergeCell ref="AA69:AB69"/>
    <mergeCell ref="AG58:AG62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A58:A62"/>
    <mergeCell ref="C58:D58"/>
    <mergeCell ref="R58:R62"/>
    <mergeCell ref="AA58:AB58"/>
    <mergeCell ref="AA53:AB53"/>
    <mergeCell ref="AA54:AB54"/>
    <mergeCell ref="C55:D55"/>
    <mergeCell ref="AA55:AB55"/>
    <mergeCell ref="C56:D56"/>
    <mergeCell ref="AA56:AB56"/>
    <mergeCell ref="AA49:AB49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46:A49"/>
    <mergeCell ref="C46:D46"/>
    <mergeCell ref="R46:R49"/>
    <mergeCell ref="AA46:AB46"/>
    <mergeCell ref="AG46:AG49"/>
    <mergeCell ref="C47:D47"/>
    <mergeCell ref="AA47:AB47"/>
    <mergeCell ref="C48:D48"/>
    <mergeCell ref="AA48:AB48"/>
    <mergeCell ref="C49:D49"/>
    <mergeCell ref="C57:D57"/>
    <mergeCell ref="AA57:AB57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37:A45"/>
    <mergeCell ref="C37:D37"/>
    <mergeCell ref="R37:R45"/>
    <mergeCell ref="AA37:AB37"/>
    <mergeCell ref="AG37:AG45"/>
    <mergeCell ref="C38:D38"/>
    <mergeCell ref="AA38:AB38"/>
    <mergeCell ref="C39:D39"/>
    <mergeCell ref="AA39:AB39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C41:D41"/>
    <mergeCell ref="AA41:AB41"/>
    <mergeCell ref="C42:D42"/>
    <mergeCell ref="AA42:AB42"/>
    <mergeCell ref="A28:A36"/>
    <mergeCell ref="C28:D28"/>
    <mergeCell ref="R28:R36"/>
    <mergeCell ref="AA28:AB28"/>
    <mergeCell ref="AA33:AB33"/>
    <mergeCell ref="C34:D34"/>
    <mergeCell ref="AA34:AB34"/>
    <mergeCell ref="C36:D36"/>
    <mergeCell ref="AA36:AB36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4:A20"/>
    <mergeCell ref="C14:D14"/>
    <mergeCell ref="R14:R20"/>
    <mergeCell ref="AA14:AB14"/>
    <mergeCell ref="AG14:AG20"/>
    <mergeCell ref="C15:D15"/>
    <mergeCell ref="AA15:AB15"/>
    <mergeCell ref="C16:D16"/>
    <mergeCell ref="AA16:AB16"/>
    <mergeCell ref="C17:D17"/>
    <mergeCell ref="AG8:AG13"/>
    <mergeCell ref="C9:D9"/>
    <mergeCell ref="AA9:AB9"/>
    <mergeCell ref="C10:D10"/>
    <mergeCell ref="AA10:AB10"/>
    <mergeCell ref="C11:D11"/>
    <mergeCell ref="AA11:AB11"/>
    <mergeCell ref="C12:D12"/>
    <mergeCell ref="AA12:AB12"/>
    <mergeCell ref="C13:D13"/>
    <mergeCell ref="AA17:AB17"/>
    <mergeCell ref="C18:D18"/>
    <mergeCell ref="AA18:AB18"/>
    <mergeCell ref="C20:D20"/>
    <mergeCell ref="AA20:AB20"/>
    <mergeCell ref="A8:A13"/>
    <mergeCell ref="C8:D8"/>
    <mergeCell ref="R8:R13"/>
    <mergeCell ref="AA8:AB8"/>
    <mergeCell ref="AA13:AB13"/>
    <mergeCell ref="I1:K2"/>
    <mergeCell ref="L1:N2"/>
    <mergeCell ref="O1:R2"/>
    <mergeCell ref="S1:X2"/>
    <mergeCell ref="AA1:AB2"/>
    <mergeCell ref="L3:L4"/>
    <mergeCell ref="M3:M4"/>
    <mergeCell ref="A3:A4"/>
    <mergeCell ref="B3:B4"/>
    <mergeCell ref="C3:D4"/>
    <mergeCell ref="E3:E4"/>
    <mergeCell ref="F3:F4"/>
    <mergeCell ref="G3:G4"/>
    <mergeCell ref="R3:R4"/>
    <mergeCell ref="S3:T3"/>
    <mergeCell ref="H3:H4"/>
    <mergeCell ref="I3:I4"/>
    <mergeCell ref="J3:J4"/>
    <mergeCell ref="K3:K4"/>
    <mergeCell ref="AE1:AG2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7:D7"/>
    <mergeCell ref="AA7:AB7"/>
    <mergeCell ref="AE3:AE4"/>
    <mergeCell ref="AF3:AF4"/>
  </mergeCells>
  <phoneticPr fontId="3" type="noConversion"/>
  <conditionalFormatting sqref="O61:O68 O57:O58 O71 O5:O8 O13:O15 O20:O55">
    <cfRule type="cellIs" dxfId="343" priority="51" operator="greaterThan">
      <formula>0</formula>
    </cfRule>
  </conditionalFormatting>
  <conditionalFormatting sqref="P5:P6 P61 AE61 P63:P68 P28:P35 P58 P8 P13:P15 P21:P26 P50:P55 P37:P48 AE5:AE58 AE63:AE71">
    <cfRule type="cellIs" dxfId="342" priority="55" operator="lessThan">
      <formula>0</formula>
    </cfRule>
  </conditionalFormatting>
  <conditionalFormatting sqref="AF61 Q61:Q68 Q57:Q58 Q71 Q5:Q8 Q13:Q15 Q20:Q55 AF5:AF58 AF63:AF71">
    <cfRule type="cellIs" dxfId="341" priority="52" operator="greaterThan">
      <formula>1</formula>
    </cfRule>
    <cfRule type="cellIs" dxfId="340" priority="53" operator="lessThan">
      <formula>0.8</formula>
    </cfRule>
  </conditionalFormatting>
  <conditionalFormatting sqref="AG14:AG15 R14:R15 AG61 R61:R68 AG57:AG58 R57:R58 R71 AG5:AG8 R5:R8 AG20:AG55 R20:R55">
    <cfRule type="cellIs" dxfId="339" priority="57" operator="lessThan">
      <formula>0.8</formula>
    </cfRule>
  </conditionalFormatting>
  <conditionalFormatting sqref="AG46">
    <cfRule type="cellIs" dxfId="338" priority="59" operator="lessThan">
      <formula>0.8</formula>
    </cfRule>
  </conditionalFormatting>
  <conditionalFormatting sqref="AG21:AG26">
    <cfRule type="cellIs" dxfId="337" priority="56" operator="lessThan">
      <formula>0.8</formula>
    </cfRule>
  </conditionalFormatting>
  <conditionalFormatting sqref="AG28">
    <cfRule type="cellIs" dxfId="336" priority="58" operator="lessThan">
      <formula>0.8</formula>
    </cfRule>
  </conditionalFormatting>
  <conditionalFormatting sqref="AG37:AG44">
    <cfRule type="cellIs" dxfId="335" priority="54" operator="lessThan">
      <formula>0.8</formula>
    </cfRule>
  </conditionalFormatting>
  <conditionalFormatting sqref="AE62">
    <cfRule type="cellIs" dxfId="334" priority="50" operator="lessThan">
      <formula>0</formula>
    </cfRule>
  </conditionalFormatting>
  <conditionalFormatting sqref="AF62">
    <cfRule type="cellIs" dxfId="333" priority="48" operator="greaterThan">
      <formula>1</formula>
    </cfRule>
    <cfRule type="cellIs" dxfId="332" priority="49" operator="lessThan">
      <formula>0.8</formula>
    </cfRule>
  </conditionalFormatting>
  <conditionalFormatting sqref="O16:O17">
    <cfRule type="cellIs" dxfId="331" priority="43" operator="greaterThan">
      <formula>0</formula>
    </cfRule>
  </conditionalFormatting>
  <conditionalFormatting sqref="P16:P17">
    <cfRule type="cellIs" dxfId="330" priority="46" operator="lessThan">
      <formula>0</formula>
    </cfRule>
  </conditionalFormatting>
  <conditionalFormatting sqref="Q16:Q17">
    <cfRule type="cellIs" dxfId="329" priority="44" operator="greaterThan">
      <formula>1</formula>
    </cfRule>
    <cfRule type="cellIs" dxfId="328" priority="45" operator="lessThan">
      <formula>0.8</formula>
    </cfRule>
  </conditionalFormatting>
  <conditionalFormatting sqref="R16:R17 AG16:AG17">
    <cfRule type="cellIs" dxfId="327" priority="47" operator="lessThan">
      <formula>0.8</formula>
    </cfRule>
  </conditionalFormatting>
  <conditionalFormatting sqref="O9:O12">
    <cfRule type="cellIs" dxfId="326" priority="39" operator="greaterThan">
      <formula>0</formula>
    </cfRule>
  </conditionalFormatting>
  <conditionalFormatting sqref="P9:P12">
    <cfRule type="cellIs" dxfId="325" priority="42" operator="lessThan">
      <formula>0</formula>
    </cfRule>
  </conditionalFormatting>
  <conditionalFormatting sqref="Q9:Q12">
    <cfRule type="cellIs" dxfId="324" priority="40" operator="greaterThan">
      <formula>1</formula>
    </cfRule>
    <cfRule type="cellIs" dxfId="323" priority="41" operator="lessThan">
      <formula>0.8</formula>
    </cfRule>
  </conditionalFormatting>
  <conditionalFormatting sqref="O56">
    <cfRule type="cellIs" dxfId="322" priority="34" operator="greaterThan">
      <formula>0</formula>
    </cfRule>
  </conditionalFormatting>
  <conditionalFormatting sqref="P56">
    <cfRule type="cellIs" dxfId="321" priority="37" operator="lessThan">
      <formula>0</formula>
    </cfRule>
  </conditionalFormatting>
  <conditionalFormatting sqref="Q56">
    <cfRule type="cellIs" dxfId="320" priority="35" operator="greaterThan">
      <formula>1</formula>
    </cfRule>
    <cfRule type="cellIs" dxfId="319" priority="36" operator="lessThan">
      <formula>0.8</formula>
    </cfRule>
  </conditionalFormatting>
  <conditionalFormatting sqref="R56 AG56">
    <cfRule type="cellIs" dxfId="318" priority="38" operator="lessThan">
      <formula>0.8</formula>
    </cfRule>
  </conditionalFormatting>
  <conditionalFormatting sqref="O60">
    <cfRule type="cellIs" dxfId="317" priority="29" operator="greaterThan">
      <formula>0</formula>
    </cfRule>
  </conditionalFormatting>
  <conditionalFormatting sqref="P60 AE60">
    <cfRule type="cellIs" dxfId="316" priority="32" operator="lessThan">
      <formula>0</formula>
    </cfRule>
  </conditionalFormatting>
  <conditionalFormatting sqref="Q60 AF60">
    <cfRule type="cellIs" dxfId="315" priority="30" operator="greaterThan">
      <formula>1</formula>
    </cfRule>
    <cfRule type="cellIs" dxfId="314" priority="31" operator="lessThan">
      <formula>0.8</formula>
    </cfRule>
  </conditionalFormatting>
  <conditionalFormatting sqref="R60 AG60">
    <cfRule type="cellIs" dxfId="313" priority="33" operator="lessThan">
      <formula>0.8</formula>
    </cfRule>
  </conditionalFormatting>
  <conditionalFormatting sqref="O69">
    <cfRule type="cellIs" dxfId="312" priority="24" operator="greaterThan">
      <formula>0</formula>
    </cfRule>
  </conditionalFormatting>
  <conditionalFormatting sqref="P69">
    <cfRule type="cellIs" dxfId="311" priority="27" operator="lessThan">
      <formula>0</formula>
    </cfRule>
  </conditionalFormatting>
  <conditionalFormatting sqref="Q69">
    <cfRule type="cellIs" dxfId="310" priority="25" operator="greaterThan">
      <formula>1</formula>
    </cfRule>
    <cfRule type="cellIs" dxfId="309" priority="26" operator="lessThan">
      <formula>0.8</formula>
    </cfRule>
  </conditionalFormatting>
  <conditionalFormatting sqref="R69">
    <cfRule type="cellIs" dxfId="308" priority="28" operator="lessThan">
      <formula>0.8</formula>
    </cfRule>
  </conditionalFormatting>
  <conditionalFormatting sqref="O18:O19">
    <cfRule type="cellIs" dxfId="307" priority="19" operator="greaterThan">
      <formula>0</formula>
    </cfRule>
  </conditionalFormatting>
  <conditionalFormatting sqref="P18:P19">
    <cfRule type="cellIs" dxfId="306" priority="22" operator="lessThan">
      <formula>0</formula>
    </cfRule>
  </conditionalFormatting>
  <conditionalFormatting sqref="Q18:Q19">
    <cfRule type="cellIs" dxfId="305" priority="20" operator="greaterThan">
      <formula>1</formula>
    </cfRule>
    <cfRule type="cellIs" dxfId="304" priority="21" operator="lessThan">
      <formula>0.8</formula>
    </cfRule>
  </conditionalFormatting>
  <conditionalFormatting sqref="R18:R19 AG18:AG19">
    <cfRule type="cellIs" dxfId="303" priority="23" operator="lessThan">
      <formula>0.8</formula>
    </cfRule>
  </conditionalFormatting>
  <conditionalFormatting sqref="O59">
    <cfRule type="cellIs" dxfId="302" priority="14" operator="greaterThan">
      <formula>0</formula>
    </cfRule>
  </conditionalFormatting>
  <conditionalFormatting sqref="P59 AE59">
    <cfRule type="cellIs" dxfId="301" priority="17" operator="lessThan">
      <formula>0</formula>
    </cfRule>
  </conditionalFormatting>
  <conditionalFormatting sqref="Q59 AF59">
    <cfRule type="cellIs" dxfId="300" priority="15" operator="greaterThan">
      <formula>1</formula>
    </cfRule>
    <cfRule type="cellIs" dxfId="299" priority="16" operator="lessThan">
      <formula>0.8</formula>
    </cfRule>
  </conditionalFormatting>
  <conditionalFormatting sqref="R59 AG59">
    <cfRule type="cellIs" dxfId="298" priority="18" operator="lessThan">
      <formula>0.8</formula>
    </cfRule>
  </conditionalFormatting>
  <conditionalFormatting sqref="P7">
    <cfRule type="cellIs" dxfId="297" priority="13" operator="lessThan">
      <formula>0</formula>
    </cfRule>
  </conditionalFormatting>
  <conditionalFormatting sqref="P20">
    <cfRule type="cellIs" dxfId="296" priority="12" operator="lessThan">
      <formula>0</formula>
    </cfRule>
  </conditionalFormatting>
  <conditionalFormatting sqref="P27">
    <cfRule type="cellIs" dxfId="295" priority="11" operator="lessThan">
      <formula>0</formula>
    </cfRule>
  </conditionalFormatting>
  <conditionalFormatting sqref="P36">
    <cfRule type="cellIs" dxfId="294" priority="10" operator="lessThan">
      <formula>0</formula>
    </cfRule>
  </conditionalFormatting>
  <conditionalFormatting sqref="P49">
    <cfRule type="cellIs" dxfId="293" priority="9" operator="lessThan">
      <formula>0</formula>
    </cfRule>
  </conditionalFormatting>
  <conditionalFormatting sqref="P57">
    <cfRule type="cellIs" dxfId="292" priority="8" operator="lessThan">
      <formula>0</formula>
    </cfRule>
  </conditionalFormatting>
  <conditionalFormatting sqref="P62">
    <cfRule type="cellIs" dxfId="291" priority="7" operator="lessThan">
      <formula>0</formula>
    </cfRule>
  </conditionalFormatting>
  <conditionalFormatting sqref="P71">
    <cfRule type="cellIs" dxfId="290" priority="6" operator="lessThan">
      <formula>0</formula>
    </cfRule>
  </conditionalFormatting>
  <conditionalFormatting sqref="O70">
    <cfRule type="cellIs" dxfId="289" priority="1" operator="greaterThan">
      <formula>0</formula>
    </cfRule>
  </conditionalFormatting>
  <conditionalFormatting sqref="P70">
    <cfRule type="cellIs" dxfId="288" priority="4" operator="lessThan">
      <formula>0</formula>
    </cfRule>
  </conditionalFormatting>
  <conditionalFormatting sqref="Q70">
    <cfRule type="cellIs" dxfId="287" priority="2" operator="greaterThan">
      <formula>1</formula>
    </cfRule>
    <cfRule type="cellIs" dxfId="286" priority="3" operator="lessThan">
      <formula>0.8</formula>
    </cfRule>
  </conditionalFormatting>
  <conditionalFormatting sqref="R70">
    <cfRule type="cellIs" dxfId="285" priority="5" operator="lessThan">
      <formula>0.8</formula>
    </cfRule>
  </conditionalFormatting>
  <dataValidations count="1">
    <dataValidation type="list" allowBlank="1" showInputMessage="1" showErrorMessage="1" sqref="AB7 AA5:AB6 AA7:AA61 AB9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S12" sqref="S12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376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377</v>
      </c>
      <c r="C3" s="594" t="str">
        <f>TEXT('0704 4度C'!A2,"yyyy.mm.ddaaaa")</f>
        <v>2026.07.04星期六</v>
      </c>
      <c r="D3" s="595"/>
      <c r="E3" s="36" t="s">
        <v>378</v>
      </c>
      <c r="F3" s="596">
        <f>'0704 4度C'!D1</f>
        <v>154081</v>
      </c>
      <c r="G3" s="597"/>
      <c r="H3" s="36" t="s">
        <v>379</v>
      </c>
      <c r="I3" s="598">
        <f>'0704 4度C'!F1</f>
        <v>5304534.6900000004</v>
      </c>
      <c r="J3" s="599"/>
      <c r="K3" s="37"/>
      <c r="L3" s="38"/>
      <c r="M3" s="39"/>
      <c r="N3" s="39"/>
    </row>
    <row r="4" spans="2:17" ht="28.5" customHeight="1">
      <c r="B4" s="600" t="s">
        <v>380</v>
      </c>
      <c r="C4" s="586" t="s">
        <v>381</v>
      </c>
      <c r="D4" s="587"/>
      <c r="E4" s="603" t="s">
        <v>382</v>
      </c>
      <c r="F4" s="604"/>
      <c r="G4" s="603" t="s">
        <v>383</v>
      </c>
      <c r="H4" s="604"/>
      <c r="I4" s="603" t="s">
        <v>384</v>
      </c>
      <c r="J4" s="604"/>
      <c r="K4" s="584" t="s">
        <v>385</v>
      </c>
      <c r="L4" s="585"/>
      <c r="M4" s="585" t="s">
        <v>386</v>
      </c>
      <c r="N4" s="585"/>
    </row>
    <row r="5" spans="2:17" ht="28.5" customHeight="1">
      <c r="B5" s="601"/>
      <c r="C5" s="586" t="s">
        <v>387</v>
      </c>
      <c r="D5" s="587"/>
      <c r="E5" s="586" t="s">
        <v>388</v>
      </c>
      <c r="F5" s="587"/>
      <c r="G5" s="588" t="s">
        <v>389</v>
      </c>
      <c r="H5" s="589"/>
      <c r="I5" s="590" t="s">
        <v>390</v>
      </c>
      <c r="J5" s="591"/>
      <c r="K5" s="40" t="s">
        <v>391</v>
      </c>
      <c r="L5" s="41" t="s">
        <v>392</v>
      </c>
      <c r="M5" s="40" t="s">
        <v>391</v>
      </c>
      <c r="N5" s="41" t="s">
        <v>393</v>
      </c>
    </row>
    <row r="6" spans="2:17" ht="28.5" customHeight="1">
      <c r="B6" s="601"/>
      <c r="C6" s="586" t="s">
        <v>41</v>
      </c>
      <c r="D6" s="587"/>
      <c r="E6" s="578">
        <f>AVERAGE(D13:M13)</f>
        <v>158.47368905056865</v>
      </c>
      <c r="F6" s="579">
        <f>AVERAGE(D31:O31,D13:J13)</f>
        <v>166.99561348717447</v>
      </c>
      <c r="G6" s="580">
        <f>AVERAGE(D13:J13)</f>
        <v>166.99561348717447</v>
      </c>
      <c r="H6" s="581"/>
      <c r="I6" s="580">
        <f>AVERAGE(K13:M13)</f>
        <v>138.58919869848833</v>
      </c>
      <c r="J6" s="581"/>
      <c r="K6" s="582">
        <f>'0704 4度C'!Y2</f>
        <v>0</v>
      </c>
      <c r="L6" s="567">
        <f>'0704 4度C'!Z2</f>
        <v>0</v>
      </c>
      <c r="M6" s="583">
        <f>'0704 4度C'!AC2</f>
        <v>51</v>
      </c>
      <c r="N6" s="567">
        <f>'0704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151.66023570973883</v>
      </c>
      <c r="F7" s="571">
        <f>AVERAGE(D32:O32,D14:J14)</f>
        <v>159.74123627808743</v>
      </c>
      <c r="G7" s="572">
        <f>AVERAGE(D14:J14)</f>
        <v>159.74123627808743</v>
      </c>
      <c r="H7" s="573"/>
      <c r="I7" s="572">
        <f>AVERAGE(K14:M14)</f>
        <v>132.80456771692539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0.95757951532841745</v>
      </c>
      <c r="F8" s="575">
        <f>AVERAGE(D15:J15,D33:O33)</f>
        <v>0.9573287159514452</v>
      </c>
      <c r="G8" s="576">
        <f>AVERAGE(D15:J15)</f>
        <v>0.9573287159514452</v>
      </c>
      <c r="H8" s="577"/>
      <c r="I8" s="576">
        <f>AVERAGE(K15:M15)</f>
        <v>0.9581647138746856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394</v>
      </c>
      <c r="N9" s="39"/>
      <c r="O9" s="39"/>
      <c r="P9" s="39"/>
      <c r="Q9" s="39"/>
    </row>
    <row r="10" spans="2:17" ht="30" customHeight="1">
      <c r="B10" s="550" t="s">
        <v>395</v>
      </c>
      <c r="C10" s="551"/>
      <c r="D10" s="552" t="s">
        <v>396</v>
      </c>
      <c r="E10" s="553"/>
      <c r="F10" s="553"/>
      <c r="G10" s="553"/>
      <c r="H10" s="553"/>
      <c r="I10" s="553"/>
      <c r="J10" s="554"/>
      <c r="K10" s="555" t="s">
        <v>397</v>
      </c>
      <c r="L10" s="556"/>
      <c r="M10" s="557"/>
      <c r="P10" s="45"/>
      <c r="Q10" s="45"/>
    </row>
    <row r="11" spans="2:17" ht="17.25" customHeight="1">
      <c r="B11" s="558" t="s">
        <v>398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399</v>
      </c>
      <c r="C13" s="52" t="s">
        <v>400</v>
      </c>
      <c r="D13" s="53">
        <f>SUMIFS('0704 4度C'!$K:$K,'0704 4度C'!$A:$A,"新豐6線",'0704 4度C'!$B:$B,"平均")</f>
        <v>129.03225806451613</v>
      </c>
      <c r="E13" s="54">
        <f>SUMIFS('0704 4度C'!$K:$K,'0704 4度C'!$A:$A,"新豐2線",'0704 4度C'!$B:$B,"平均")</f>
        <v>88.235294117647058</v>
      </c>
      <c r="F13" s="55">
        <f>SUMIFS('0704 4度C'!$K:$K,'0704 4度C'!$A:$A,"新豐5線",'0704 4度C'!$B:$B,"平均")</f>
        <v>87.719298245614041</v>
      </c>
      <c r="G13" s="55">
        <f>SUMIFS('0704 4度C'!$K:$K,'0704 4度C'!$A:$A,"新豐7線",'0704 4度C'!$B:$B,"平均")</f>
        <v>119.99999999999999</v>
      </c>
      <c r="H13" s="55">
        <f>SUMIFS('0704 4度C'!$K:$K,'0704 4度C'!$A:$A,"新豐3線",'0704 4度C'!$B:$B,"平均")</f>
        <v>300</v>
      </c>
      <c r="I13" s="55">
        <f>SUMIFS('0704 4度C'!$K:$K,'0704 4度C'!$A:$A,"新豐1線",'0704 4度C'!$B:$B,"平均")</f>
        <v>119.65811965811965</v>
      </c>
      <c r="J13" s="56">
        <f>SUMIFS('0704 4度C'!$K:$K,'0704 4度C'!$A:$A,"新豐10線",'0704 4度C'!$B:$B,"平均")</f>
        <v>324.32432432432432</v>
      </c>
      <c r="K13" s="57">
        <f>SUMIFS('0704 4度C'!$K:$K,'0704 4度C'!$A:$A,"新豐8線",'0704 4度C'!$B:$B,"平均")</f>
        <v>137.70491803278691</v>
      </c>
      <c r="L13" s="58">
        <f>SUMIFS('0704 4度C'!$K:$K,'0704 4度C'!$A:$A,"新豐9線",'0704 4度C'!$B:$B,"平均")</f>
        <v>129.91452991452991</v>
      </c>
      <c r="M13" s="56">
        <f>SUMIFS('0704 4度C'!$K:$K,'0704 4度C'!$A:$A,"新豐4線",'0704 4度C'!$B:$B,"平均")</f>
        <v>148.14814814814815</v>
      </c>
    </row>
    <row r="14" spans="2:17" ht="39.6" customHeight="1">
      <c r="B14" s="563"/>
      <c r="C14" s="59" t="s">
        <v>401</v>
      </c>
      <c r="D14" s="60">
        <f>SUMIFS('0704 4度C'!$N:$N,'0704 4度C'!$A:$A,"新豐6線",'0704 4度C'!$B:$B,"平均")</f>
        <v>123.48588186007534</v>
      </c>
      <c r="E14" s="61">
        <f>SUMIFS('0704 4度C'!$N:$N,'0704 4度C'!$A:$A,"新豐2線",'0704 4度C'!$B:$B,"平均")</f>
        <v>84.490106380540993</v>
      </c>
      <c r="F14" s="61">
        <f>SUMIFS('0704 4度C'!$N:$N,'0704 4度C'!$A:$A,"新豐5線",'0704 4度C'!$B:$B,"平均")</f>
        <v>84.159593751994223</v>
      </c>
      <c r="G14" s="61">
        <f>SUMIFS('0704 4度C'!$N:$N,'0704 4度C'!$A:$A,"新豐7線",'0704 4度C'!$B:$B,"平均")</f>
        <v>115.04424252071694</v>
      </c>
      <c r="H14" s="61">
        <f>SUMIFS('0704 4度C'!$N:$N,'0704 4度C'!$A:$A,"新豐3線",'0704 4度C'!$B:$B,"平均")</f>
        <v>286.7594362709068</v>
      </c>
      <c r="I14" s="61">
        <f>SUMIFS('0704 4度C'!$N:$N,'0704 4度C'!$A:$A,"新豐1線",'0704 4度C'!$B:$B,"平均")</f>
        <v>114.65002909242538</v>
      </c>
      <c r="J14" s="62">
        <f>SUMIFS('0704 4度C'!$N:$N,'0704 4度C'!$A:$A,"新豐10線",'0704 4度C'!$B:$B,"平均")</f>
        <v>309.5993640699524</v>
      </c>
      <c r="K14" s="63">
        <f>SUMIFS('0704 4度C'!$N:$N,'0704 4度C'!$A:$A,"新豐8線",'0704 4度C'!$B:$B,"平均")</f>
        <v>131.88363371705844</v>
      </c>
      <c r="L14" s="64">
        <f>SUMIFS('0704 4度C'!$N:$N,'0704 4度C'!$A:$A,"新豐9線",'0704 4度C'!$B:$B,"平均")</f>
        <v>124.22810664143239</v>
      </c>
      <c r="M14" s="62">
        <f>SUMIFS('0704 4度C'!$N:$N,'0704 4度C'!$A:$A,"新豐4線",'0704 4度C'!$B:$B,"平均")</f>
        <v>142.30196279228539</v>
      </c>
    </row>
    <row r="15" spans="2:17" ht="40.15" customHeight="1">
      <c r="B15" s="564"/>
      <c r="C15" s="65" t="s">
        <v>402</v>
      </c>
      <c r="D15" s="66">
        <f t="shared" ref="D15:M15" si="0">D14/D13</f>
        <v>0.95701558441558388</v>
      </c>
      <c r="E15" s="67">
        <f t="shared" si="0"/>
        <v>0.95755453897946463</v>
      </c>
      <c r="F15" s="67">
        <f t="shared" si="0"/>
        <v>0.95941936877273404</v>
      </c>
      <c r="G15" s="67">
        <f t="shared" si="0"/>
        <v>0.95870202100597457</v>
      </c>
      <c r="H15" s="67">
        <f t="shared" si="0"/>
        <v>0.9558647875696894</v>
      </c>
      <c r="I15" s="67">
        <f t="shared" si="0"/>
        <v>0.95814667170098367</v>
      </c>
      <c r="J15" s="68">
        <f t="shared" si="0"/>
        <v>0.95459803921568653</v>
      </c>
      <c r="K15" s="66">
        <f t="shared" si="0"/>
        <v>0.95772638770720997</v>
      </c>
      <c r="L15" s="67">
        <f t="shared" si="0"/>
        <v>0.95622950506892046</v>
      </c>
      <c r="M15" s="68">
        <f t="shared" si="0"/>
        <v>0.96053824884792638</v>
      </c>
    </row>
    <row r="16" spans="2:17" ht="17.25" customHeight="1">
      <c r="B16" s="565" t="s">
        <v>403</v>
      </c>
      <c r="C16" s="69" t="s">
        <v>404</v>
      </c>
      <c r="D16" s="70">
        <f>VLOOKUP("新豐6線",'0704 4度C'!$A:$T,19,0)</f>
        <v>0.70833333333333337</v>
      </c>
      <c r="E16" s="71">
        <f>VLOOKUP("新豐2線",'0704 4度C'!$A:$T,19,0)</f>
        <v>8.3333333333333329E-2</v>
      </c>
      <c r="F16" s="71">
        <f>VLOOKUP("新豐5線",'0704 4度C'!$A:$T,19,0)</f>
        <v>8.3333333333333329E-2</v>
      </c>
      <c r="G16" s="71">
        <f>VLOOKUP("新豐7線",'0704 4度C'!$A:$T,19,0)</f>
        <v>0.20833333333333334</v>
      </c>
      <c r="H16" s="71">
        <f>VLOOKUP("新豐3線",'0704 4度C'!$A:$T,19,0)</f>
        <v>0.20833333333333334</v>
      </c>
      <c r="I16" s="71">
        <f>VLOOKUP("新豐1線",'0704 4度C'!$A:$T,19,0)</f>
        <v>0.20833333333333334</v>
      </c>
      <c r="J16" s="72">
        <f>VLOOKUP("新豐10線",'0704 4度C'!$A:$T,19,0)</f>
        <v>0.20833333333333334</v>
      </c>
      <c r="K16" s="73">
        <f>VLOOKUP("新豐8線",'0704 4度C'!$A:$T,19,0)</f>
        <v>8.3333333333333329E-2</v>
      </c>
      <c r="L16" s="74">
        <f>VLOOKUP("新豐9線",'0704 4度C'!$A:$T,19,0)</f>
        <v>8.3333333333333329E-2</v>
      </c>
      <c r="M16" s="75">
        <f>VLOOKUP("新豐4線",'0704 4度C'!$A:$T,19,0)</f>
        <v>8.3333333333333329E-2</v>
      </c>
    </row>
    <row r="17" spans="2:13" ht="17.25" customHeight="1">
      <c r="B17" s="566"/>
      <c r="C17" s="69" t="s">
        <v>405</v>
      </c>
      <c r="D17" s="73">
        <f>LOOKUP(2,1/(('0704 4度C'!$A:$A="新豐6線")*('0704 4度C'!$T:$T&lt;&gt;"")),'0704 4度C'!$T:$T)</f>
        <v>0.81875000000000009</v>
      </c>
      <c r="E17" s="71">
        <f>LOOKUP(2,1/(('0704 4度C'!$A:$A="新豐2線")*('0704 4度C'!$T:$T&lt;&gt;"")),'0704 4度C'!$T:$T)</f>
        <v>0.60069444444444442</v>
      </c>
      <c r="F17" s="71">
        <f>LOOKUP(2,1/(('0704 4度C'!$A:$A="新豐5線")*('0704 4度C'!$T:$T&lt;&gt;"")),'0704 4度C'!$T:$T)</f>
        <v>0.77708333333333335</v>
      </c>
      <c r="G17" s="71">
        <f>LOOKUP(2,1/(('0704 4度C'!$A:$A="新豐7線")*('0704 4度C'!$T:$T&lt;&gt;"")),'0704 4度C'!$T:$T)</f>
        <v>0.82430555555555551</v>
      </c>
      <c r="H17" s="71">
        <f>LOOKUP(2,1/(('0704 4度C'!$A:$A="新豐3線")*('0704 4度C'!$T:$T&lt;&gt;"")),'0704 4度C'!$T:$T)</f>
        <v>0.40763888888888888</v>
      </c>
      <c r="I17" s="71">
        <f>LOOKUP(2,1/(('0704 4度C'!$A:$A="新豐1線")*('0704 4度C'!$T:$T&lt;&gt;"")),'0704 4度C'!$T:$T)</f>
        <v>0.83263888888888893</v>
      </c>
      <c r="J17" s="72">
        <f>LOOKUP(2,1/(('0704 4度C'!$A:$A="新豐10線")*('0704 4度C'!$T:$T&lt;&gt;"")),'0704 4度C'!$T:$T)</f>
        <v>0.39513888888888882</v>
      </c>
      <c r="K17" s="70">
        <f>LOOKUP(2,1/(('0704 4度C'!$A:$A="新豐8線")*('0704 4度C'!$T:$T&lt;&gt;"")),'0704 4度C'!$T:$T)</f>
        <v>0.63472222222222219</v>
      </c>
      <c r="L17" s="71">
        <f>LOOKUP(2,1/(('0704 4度C'!$A:$A="新豐9線")*('0704 4度C'!$T:$T&lt;&gt;"")),'0704 4度C'!$T:$T)</f>
        <v>0.63958333333333306</v>
      </c>
      <c r="M17" s="72">
        <f>LOOKUP(2,1/(('0704 4度C'!$A:$A="新豐4線")*('0704 4度C'!$T:$T&lt;&gt;"")),'0704 4度C'!$T:$T)</f>
        <v>0.46111111111111103</v>
      </c>
    </row>
    <row r="18" spans="2:13" ht="17.25" customHeight="1">
      <c r="B18" s="544" t="s">
        <v>406</v>
      </c>
      <c r="C18" s="76" t="s">
        <v>407</v>
      </c>
      <c r="D18" s="77">
        <f>SUMIFS('0704 4度C'!$Y:$Y,'0704 4度C'!$A:$A,"新豐6線",'0704 4度C'!$B:$B,"平均")</f>
        <v>0</v>
      </c>
      <c r="E18" s="78">
        <f>SUMIFS('0704 4度C'!$Y:$Y,'0704 4度C'!$A:$A,"新豐2線",'0704 4度C'!$B:$B,"平均")</f>
        <v>0</v>
      </c>
      <c r="F18" s="78">
        <f>SUMIFS('0704 4度C'!$Y:$Y,'0704 4度C'!$A:$A,"新豐5線",'0704 4度C'!$B:$B,"平均")</f>
        <v>0</v>
      </c>
      <c r="G18" s="78">
        <f>SUMIFS('0704 4度C'!$Y:$Y,'0704 4度C'!$A:$A,"新豐7線",'0704 4度C'!$B:$B,"平均")</f>
        <v>0</v>
      </c>
      <c r="H18" s="78">
        <f>SUMIFS('0704 4度C'!$Y:$Y,'0704 4度C'!$A:$A,"新豐3線",'0704 4度C'!$B:$B,"平均")</f>
        <v>0</v>
      </c>
      <c r="I18" s="78">
        <f>SUMIFS('0704 4度C'!$Y:$Y,'0704 4度C'!$A:$A,"新豐1線",'0704 4度C'!$B:$B,"平均")</f>
        <v>0</v>
      </c>
      <c r="J18" s="79">
        <f>SUMIFS('0704 4度C'!$Y:$Y,'0704 4度C'!$A:$A,"新豐10線",'0704 4度C'!$B:$B,"平均")</f>
        <v>0</v>
      </c>
      <c r="K18" s="80">
        <f>SUMIFS('0704 4度C'!$Y:$Y,'0704 4度C'!$A:$A,"新豐8線",'0704 4度C'!$B:$B,"平均")</f>
        <v>0</v>
      </c>
      <c r="L18" s="78">
        <f>SUMIFS('0704 4度C'!$Y:$Y,'0704 4度C'!$A:$A,"新豐9線",'0704 4度C'!$B:$B,"平均")</f>
        <v>0</v>
      </c>
      <c r="M18" s="79">
        <f>SUMIFS('0704 4度C'!$Y:$Y,'0704 4度C'!$A:$A,"新豐4線",'0704 4度C'!$B:$B,"平均")</f>
        <v>0</v>
      </c>
    </row>
    <row r="19" spans="2:13" ht="17.25" customHeight="1">
      <c r="B19" s="545"/>
      <c r="C19" s="76" t="s">
        <v>408</v>
      </c>
      <c r="D19" s="77">
        <f>SUMIFS('0704 4度C'!$Z:$Z,'0704 4度C'!$A:$A,"新豐6線",'0704 4度C'!$B:$B,"平均")</f>
        <v>0</v>
      </c>
      <c r="E19" s="78">
        <f>SUMIFS('0704 4度C'!$Z:$Z,'0704 4度C'!$A:$A,"新豐2線",'0704 4度C'!$B:$B,"平均")</f>
        <v>0</v>
      </c>
      <c r="F19" s="78">
        <f>SUMIFS('0704 4度C'!$Z:$Z,'0704 4度C'!$A:$A,"新豐5線",'0704 4度C'!$B:$B,"平均")</f>
        <v>0</v>
      </c>
      <c r="G19" s="78">
        <f>SUMIFS('0704 4度C'!$Z:$Z,'0704 4度C'!$A:$A,"新豐7線",'0704 4度C'!$B:$B,"平均")</f>
        <v>0</v>
      </c>
      <c r="H19" s="78">
        <f>SUMIFS('0704 4度C'!$Z:$Z,'0704 4度C'!$A:$A,"新豐3線",'0704 4度C'!$B:$B,"平均")</f>
        <v>0</v>
      </c>
      <c r="I19" s="78">
        <f>SUMIFS('0704 4度C'!$Z:$Z,'0704 4度C'!$A:$A,"新豐1線",'0704 4度C'!$B:$B,"平均")</f>
        <v>0</v>
      </c>
      <c r="J19" s="79">
        <f>SUMIFS('0704 4度C'!$Z:$Z,'0704 4度C'!$A:$A,"新豐10線",'0704 4度C'!$B:$B,"平均")</f>
        <v>0</v>
      </c>
      <c r="K19" s="80">
        <f>SUMIFS('0704 4度C'!$Z:$Z,'0704 4度C'!$A:$A,"新豐8線",'0704 4度C'!$B:$B,"平均")</f>
        <v>0</v>
      </c>
      <c r="L19" s="78">
        <f>SUMIFS('0704 4度C'!$Z:$Z,'0704 4度C'!$A:$A,"新豐9線",'0704 4度C'!$B:$B,"平均")</f>
        <v>0</v>
      </c>
      <c r="M19" s="79">
        <f>SUMIFS('0704 4度C'!$Z:$Z,'0704 4度C'!$A:$A,"新豐4線",'0704 4度C'!$B:$B,"平均")</f>
        <v>0</v>
      </c>
    </row>
    <row r="20" spans="2:13" ht="17.25" customHeight="1">
      <c r="B20" s="544" t="s">
        <v>409</v>
      </c>
      <c r="C20" s="76" t="s">
        <v>407</v>
      </c>
      <c r="D20" s="77">
        <f>SUMIFS('0704 4度C'!$AC:$AC,'0704 4度C'!$A:$A,"新豐6線",'0704 4度C'!$B:$B,"平均")</f>
        <v>2</v>
      </c>
      <c r="E20" s="78">
        <f>SUMIFS('0704 4度C'!$AC:$AC,'0704 4度C'!$A:$A,"新豐2線",'0704 4度C'!$B:$B,"平均")</f>
        <v>4</v>
      </c>
      <c r="F20" s="78">
        <f>SUMIFS('0704 4度C'!$AC:$AC,'0704 4度C'!$A:$A,"新豐5線",'0704 4度C'!$B:$B,"平均")</f>
        <v>6</v>
      </c>
      <c r="G20" s="78">
        <f>SUMIFS('0704 4度C'!$AC:$AC,'0704 4度C'!$A:$A,"新豐7線",'0704 4度C'!$B:$B,"平均")</f>
        <v>6</v>
      </c>
      <c r="H20" s="78">
        <f>SUMIFS('0704 4度C'!$AC:$AC,'0704 4度C'!$A:$A,"新豐3線",'0704 4度C'!$B:$B,"平均")</f>
        <v>3</v>
      </c>
      <c r="I20" s="78">
        <f>SUMIFS('0704 4度C'!$AC:$AC,'0704 4度C'!$A:$A,"新豐1線",'0704 4度C'!$B:$B,"平均")</f>
        <v>7</v>
      </c>
      <c r="J20" s="79">
        <f>SUMIFS('0704 4度C'!$AC:$AC,'0704 4度C'!$A:$A,"新豐10線",'0704 4度C'!$B:$B,"平均")</f>
        <v>4</v>
      </c>
      <c r="K20" s="80">
        <f>SUMIFS('0704 4度C'!$AC:$AC,'0704 4度C'!$A:$A,"新豐8線",'0704 4度C'!$B:$B,"平均")</f>
        <v>7</v>
      </c>
      <c r="L20" s="78">
        <f>SUMIFS('0704 4度C'!$AC:$AC,'0704 4度C'!$A:$A,"新豐9線",'0704 4度C'!$B:$B,"平均")</f>
        <v>7</v>
      </c>
      <c r="M20" s="79">
        <f>SUMIFS('0704 4度C'!$AC:$AC,'0704 4度C'!$A:$A,"新豐4線",'0704 4度C'!$B:$B,"平均")</f>
        <v>5</v>
      </c>
    </row>
    <row r="21" spans="2:13" ht="17.25" customHeight="1">
      <c r="B21" s="545"/>
      <c r="C21" s="76" t="s">
        <v>410</v>
      </c>
      <c r="D21" s="77">
        <f>SUMIFS('0704 4度C'!$AD:$AD,'0704 4度C'!$A:$A,"新豐6線",'0704 4度C'!$B:$B,"平均")</f>
        <v>0</v>
      </c>
      <c r="E21" s="78">
        <f>SUMIFS('0704 4度C'!$AD:$AD,'0704 4度C'!$A:$A,"新豐2線",'0704 4度C'!$B:$B,"平均")</f>
        <v>0</v>
      </c>
      <c r="F21" s="78">
        <f>SUMIFS('0704 4度C'!$AD:$AD,'0704 4度C'!$A:$A,"新豐5線",'0704 4度C'!$B:$B,"平均")</f>
        <v>0</v>
      </c>
      <c r="G21" s="78">
        <f>SUMIFS('0704 4度C'!$AD:$AD,'0704 4度C'!$A:$A,"新豐7線",'0704 4度C'!$B:$B,"平均")</f>
        <v>0</v>
      </c>
      <c r="H21" s="78">
        <f>SUMIFS('0704 4度C'!$AD:$AD,'0704 4度C'!$A:$A,"新豐3線",'0704 4度C'!$B:$B,"平均")</f>
        <v>0</v>
      </c>
      <c r="I21" s="78">
        <f>SUMIFS('0704 4度C'!$AD:$AD,'0704 4度C'!$A:$A,"新豐1線",'0704 4度C'!$B:$B,"平均")</f>
        <v>0</v>
      </c>
      <c r="J21" s="79">
        <f>SUMIFS('0704 4度C'!$AD:$AD,'0704 4度C'!$A:$A,"新豐10線",'0704 4度C'!$B:$B,"平均")</f>
        <v>0</v>
      </c>
      <c r="K21" s="80">
        <f>SUMIFS('0704 4度C'!$AD:$AD,'0704 4度C'!$A:$A,"新豐8線",'0704 4度C'!$B:$B,"平均")</f>
        <v>0</v>
      </c>
      <c r="L21" s="78">
        <f>SUMIFS('0704 4度C'!$AD:$AD,'0704 4度C'!$A:$A,"新豐9線",'0704 4度C'!$B:$B,"平均")</f>
        <v>0</v>
      </c>
      <c r="M21" s="79">
        <f>SUMIFS('0704 4度C'!$AD:$AD,'0704 4度C'!$A:$A,"新豐4線",'0704 4度C'!$B:$B,"平均")</f>
        <v>0</v>
      </c>
    </row>
    <row r="22" spans="2:13" ht="17.25" customHeight="1">
      <c r="B22" s="546" t="s">
        <v>411</v>
      </c>
      <c r="C22" s="547"/>
      <c r="D22" s="81">
        <f>SUMIFS('0704 4度C'!$I:$I,'0704 4度C'!$A:$A,"新豐6線",'0704 4度C'!$B:$B,"平均")</f>
        <v>15.5</v>
      </c>
      <c r="E22" s="82">
        <f>SUMIFS('0704 4度C'!$I:$I,'0704 4度C'!$A:$A,"新豐2線",'0704 4度C'!$B:$B,"平均")</f>
        <v>17</v>
      </c>
      <c r="F22" s="82">
        <f>SUMIFS('0704 4度C'!$I:$I,'0704 4度C'!$A:$A,"新豐5線",'0704 4度C'!$B:$B,"平均")</f>
        <v>19</v>
      </c>
      <c r="G22" s="82">
        <f>SUMIFS('0704 4度C'!$I:$I,'0704 4度C'!$A:$A,"新豐7線",'0704 4度C'!$B:$B,"平均")</f>
        <v>16.666666666666668</v>
      </c>
      <c r="H22" s="82">
        <f>SUMIFS('0704 4度C'!$I:$I,'0704 4度C'!$A:$A,"新豐3線",'0704 4度C'!$B:$B,"平均")</f>
        <v>10</v>
      </c>
      <c r="I22" s="82">
        <f>SUMIFS('0704 4度C'!$I:$I,'0704 4度C'!$A:$A,"新豐1線",'0704 4度C'!$B:$B,"平均")</f>
        <v>16.714285714285715</v>
      </c>
      <c r="J22" s="83">
        <f>SUMIFS('0704 4度C'!$I:$I,'0704 4度C'!$A:$A,"新豐10線",'0704 4度C'!$B:$B,"平均")</f>
        <v>9.25</v>
      </c>
      <c r="K22" s="81">
        <f>SUMIFS('0704 4度C'!$I:$I,'0704 4度C'!$A:$A,"新豐8線",'0704 4度C'!$B:$B,"平均")</f>
        <v>17.428571428571427</v>
      </c>
      <c r="L22" s="82">
        <f>SUMIFS('0704 4度C'!$I:$I,'0704 4度C'!$A:$A,"新豐9線",'0704 4度C'!$B:$B,"平均")</f>
        <v>16.714285714285715</v>
      </c>
      <c r="M22" s="83">
        <f>SUMIFS('0704 4度C'!$I:$I,'0704 4度C'!$A:$A,"新豐4線",'0704 4度C'!$B:$B,"平均")</f>
        <v>16.2</v>
      </c>
    </row>
    <row r="23" spans="2:13" ht="17.25" customHeight="1">
      <c r="B23" s="546" t="s">
        <v>412</v>
      </c>
      <c r="C23" s="547"/>
      <c r="D23" s="84" t="s">
        <v>54</v>
      </c>
      <c r="E23" s="85" t="s">
        <v>55</v>
      </c>
      <c r="F23" s="85" t="s">
        <v>413</v>
      </c>
      <c r="G23" s="85" t="s">
        <v>413</v>
      </c>
      <c r="H23" s="85" t="s">
        <v>56</v>
      </c>
      <c r="I23" s="85" t="s">
        <v>54</v>
      </c>
      <c r="J23" s="86" t="s">
        <v>56</v>
      </c>
      <c r="K23" s="84" t="s">
        <v>414</v>
      </c>
      <c r="L23" s="85" t="s">
        <v>414</v>
      </c>
      <c r="M23" s="86" t="s">
        <v>414</v>
      </c>
    </row>
    <row r="24" spans="2:13" ht="17.25" customHeight="1">
      <c r="B24" s="546" t="s">
        <v>415</v>
      </c>
      <c r="C24" s="547"/>
      <c r="D24" s="84"/>
      <c r="E24" s="85"/>
      <c r="F24" s="85" t="s">
        <v>416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124</v>
      </c>
      <c r="C25" s="549"/>
      <c r="D25" s="87"/>
      <c r="E25" s="88" t="s">
        <v>417</v>
      </c>
      <c r="F25" s="542" t="s">
        <v>418</v>
      </c>
      <c r="G25" s="543"/>
      <c r="H25" s="88" t="s">
        <v>127</v>
      </c>
      <c r="I25" s="88" t="s">
        <v>419</v>
      </c>
      <c r="J25" s="89" t="s">
        <v>420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6"/>
  <sheetViews>
    <sheetView zoomScale="80" zoomScaleNormal="80" workbookViewId="0">
      <pane ySplit="4" topLeftCell="A5" activePane="bottomLeft" state="frozen"/>
      <selection activeCell="S12" sqref="S12"/>
      <selection pane="bottomLeft" activeCell="S12" sqref="S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421</v>
      </c>
      <c r="B1" s="1"/>
      <c r="C1" s="2" t="s">
        <v>422</v>
      </c>
      <c r="D1" s="3">
        <f>SUM(F5:F65)</f>
        <v>154081</v>
      </c>
      <c r="E1" s="138" t="s">
        <v>423</v>
      </c>
      <c r="F1" s="1">
        <f>SUM(G5:G65)</f>
        <v>5304534.6900000004</v>
      </c>
      <c r="G1" s="1" t="s">
        <v>424</v>
      </c>
      <c r="H1" s="4">
        <f>L7+L12+L46+L54+L19+L59+L34+L42+L26+L65</f>
        <v>154.47380952380951</v>
      </c>
      <c r="I1" s="654" t="s">
        <v>425</v>
      </c>
      <c r="J1" s="654"/>
      <c r="K1" s="654"/>
      <c r="L1" s="654" t="s">
        <v>426</v>
      </c>
      <c r="M1" s="654"/>
      <c r="N1" s="654"/>
      <c r="O1" s="654" t="s">
        <v>427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428</v>
      </c>
      <c r="Z1" s="6" t="s">
        <v>429</v>
      </c>
      <c r="AA1" s="655" t="s">
        <v>430</v>
      </c>
      <c r="AB1" s="655"/>
      <c r="AC1" s="92" t="s">
        <v>428</v>
      </c>
      <c r="AD1" s="6" t="s">
        <v>431</v>
      </c>
      <c r="AE1" s="654" t="s">
        <v>432</v>
      </c>
      <c r="AF1" s="656"/>
      <c r="AG1" s="656"/>
    </row>
    <row r="2" spans="1:33" ht="26.25" customHeight="1">
      <c r="A2" s="25">
        <v>46207</v>
      </c>
      <c r="B2" s="26" t="s">
        <v>433</v>
      </c>
      <c r="C2" s="2" t="s">
        <v>399</v>
      </c>
      <c r="D2" s="8">
        <f>AVERAGE(N7,N12,N46,N54,N19,N59,N26,N34,N42,N65)</f>
        <v>151.66023570973886</v>
      </c>
      <c r="E2" s="9" t="s">
        <v>0</v>
      </c>
      <c r="F2" s="10">
        <f>F1/D1</f>
        <v>34.426922787365093</v>
      </c>
      <c r="G2" s="1" t="s">
        <v>434</v>
      </c>
      <c r="H2" s="149">
        <f>COUNT(H5:H65)</f>
        <v>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SUM(Y7+Y12+Y19+Y26+Y34+Y42+Y46+Y54+Y59+Y65)</f>
        <v>0</v>
      </c>
      <c r="Z2" s="11">
        <f>SUM(Z7+Z12+Z19+Z26+Z34+Z42+Z46+Z54+Z59+Z65)</f>
        <v>0</v>
      </c>
      <c r="AA2" s="655"/>
      <c r="AB2" s="655"/>
      <c r="AC2" s="11">
        <v>51</v>
      </c>
      <c r="AD2" s="11">
        <f>SUM(AD7+AD12+AD19+AD26+AD34+AD42+AD46+AD54+AD59+AD65)</f>
        <v>0</v>
      </c>
      <c r="AE2" s="656"/>
      <c r="AF2" s="656"/>
      <c r="AG2" s="656"/>
    </row>
    <row r="3" spans="1:33" ht="40.5" customHeight="1">
      <c r="A3" s="612" t="s">
        <v>435</v>
      </c>
      <c r="B3" s="612" t="s">
        <v>436</v>
      </c>
      <c r="C3" s="612" t="s">
        <v>437</v>
      </c>
      <c r="D3" s="612"/>
      <c r="E3" s="652" t="s">
        <v>438</v>
      </c>
      <c r="F3" s="612" t="s">
        <v>439</v>
      </c>
      <c r="G3" s="652" t="s">
        <v>440</v>
      </c>
      <c r="H3" s="645" t="s">
        <v>441</v>
      </c>
      <c r="I3" s="644" t="s">
        <v>442</v>
      </c>
      <c r="J3" s="641" t="s">
        <v>443</v>
      </c>
      <c r="K3" s="650" t="s">
        <v>399</v>
      </c>
      <c r="L3" s="644" t="s">
        <v>442</v>
      </c>
      <c r="M3" s="641" t="s">
        <v>443</v>
      </c>
      <c r="N3" s="650" t="s">
        <v>399</v>
      </c>
      <c r="O3" s="644" t="s">
        <v>442</v>
      </c>
      <c r="P3" s="650" t="s">
        <v>399</v>
      </c>
      <c r="Q3" s="642" t="s">
        <v>444</v>
      </c>
      <c r="R3" s="621" t="s">
        <v>445</v>
      </c>
      <c r="S3" s="651" t="s">
        <v>1</v>
      </c>
      <c r="T3" s="651"/>
      <c r="U3" s="645" t="s">
        <v>2</v>
      </c>
      <c r="V3" s="645" t="s">
        <v>446</v>
      </c>
      <c r="W3" s="612" t="s">
        <v>447</v>
      </c>
      <c r="X3" s="612"/>
      <c r="Y3" s="646" t="s">
        <v>448</v>
      </c>
      <c r="Z3" s="611"/>
      <c r="AA3" s="647" t="s">
        <v>449</v>
      </c>
      <c r="AB3" s="648"/>
      <c r="AC3" s="646" t="s">
        <v>450</v>
      </c>
      <c r="AD3" s="611"/>
      <c r="AE3" s="641" t="s">
        <v>443</v>
      </c>
      <c r="AF3" s="642" t="s">
        <v>451</v>
      </c>
      <c r="AG3" s="621" t="s">
        <v>452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48" t="s">
        <v>3</v>
      </c>
      <c r="T4" s="148" t="s">
        <v>4</v>
      </c>
      <c r="U4" s="645"/>
      <c r="V4" s="645"/>
      <c r="W4" s="138" t="s">
        <v>453</v>
      </c>
      <c r="X4" s="138" t="s">
        <v>454</v>
      </c>
      <c r="Y4" s="141" t="s">
        <v>455</v>
      </c>
      <c r="Z4" s="141" t="s">
        <v>456</v>
      </c>
      <c r="AA4" s="649"/>
      <c r="AB4" s="648"/>
      <c r="AC4" s="141" t="s">
        <v>457</v>
      </c>
      <c r="AD4" s="141" t="s">
        <v>458</v>
      </c>
      <c r="AE4" s="641"/>
      <c r="AF4" s="642"/>
      <c r="AG4" s="621"/>
    </row>
    <row r="5" spans="1:33">
      <c r="A5" s="643" t="s">
        <v>459</v>
      </c>
      <c r="B5" s="27" t="s">
        <v>5</v>
      </c>
      <c r="C5" s="657" t="s">
        <v>14</v>
      </c>
      <c r="D5" s="657"/>
      <c r="E5" s="27">
        <v>50.92</v>
      </c>
      <c r="F5" s="148">
        <v>2388</v>
      </c>
      <c r="G5" s="138">
        <f t="shared" ref="G5:G6" si="0">E5*F5</f>
        <v>121596.96</v>
      </c>
      <c r="H5" s="31" t="s">
        <v>40</v>
      </c>
      <c r="I5" s="146">
        <v>15</v>
      </c>
      <c r="J5" s="29">
        <v>2000</v>
      </c>
      <c r="K5" s="12">
        <f t="shared" ref="K5:K65" si="1">J5/I5</f>
        <v>133.33333333333334</v>
      </c>
      <c r="L5" s="146">
        <v>15</v>
      </c>
      <c r="M5" s="13">
        <f t="shared" ref="M5:M6" si="2">F5/V5*60</f>
        <v>1910.3999999999985</v>
      </c>
      <c r="N5" s="12">
        <f t="shared" ref="N5:N65" si="3">M5/L5</f>
        <v>127.3599999999999</v>
      </c>
      <c r="O5" s="14">
        <f t="shared" ref="O5:O65" si="4">L5-I5</f>
        <v>0</v>
      </c>
      <c r="P5" s="15">
        <f t="shared" ref="P5:P65" si="5">N5-K5</f>
        <v>-5.9733333333334429</v>
      </c>
      <c r="Q5" s="137">
        <f t="shared" ref="Q5:Q65" si="6">N5/K5</f>
        <v>0.95519999999999916</v>
      </c>
      <c r="R5" s="616">
        <f>Q7</f>
        <v>0.95701558441558388</v>
      </c>
      <c r="S5" s="32">
        <v>0.70833333333333337</v>
      </c>
      <c r="T5" s="32">
        <v>0.76041666666666674</v>
      </c>
      <c r="U5" s="138"/>
      <c r="V5" s="147">
        <f t="shared" ref="V5:V6" si="7">(T5-S5)*24*60</f>
        <v>75.000000000000057</v>
      </c>
      <c r="W5" s="16"/>
      <c r="X5" s="16"/>
      <c r="Y5" s="17"/>
      <c r="Z5" s="17"/>
      <c r="AA5" s="612"/>
      <c r="AB5" s="612"/>
      <c r="AC5" s="18">
        <v>2</v>
      </c>
      <c r="AD5" s="18"/>
      <c r="AE5" s="14">
        <f t="shared" ref="AE5:AE53" si="8">M5-J5</f>
        <v>-89.600000000001501</v>
      </c>
      <c r="AF5" s="137">
        <f t="shared" ref="AF5:AF65" si="9">M5/J5</f>
        <v>0.95519999999999927</v>
      </c>
      <c r="AG5" s="616">
        <f>AF7</f>
        <v>0.95701558441558376</v>
      </c>
    </row>
    <row r="6" spans="1:33">
      <c r="A6" s="644" t="s">
        <v>460</v>
      </c>
      <c r="B6" s="27" t="s">
        <v>5</v>
      </c>
      <c r="C6" s="657" t="s">
        <v>19</v>
      </c>
      <c r="D6" s="657"/>
      <c r="E6" s="27">
        <v>50.98</v>
      </c>
      <c r="F6" s="148">
        <v>2461</v>
      </c>
      <c r="G6" s="138">
        <f t="shared" si="0"/>
        <v>125461.78</v>
      </c>
      <c r="H6" s="31" t="s">
        <v>40</v>
      </c>
      <c r="I6" s="146">
        <v>16</v>
      </c>
      <c r="J6" s="29">
        <v>2000</v>
      </c>
      <c r="K6" s="12">
        <f t="shared" si="1"/>
        <v>125</v>
      </c>
      <c r="L6" s="146">
        <v>16</v>
      </c>
      <c r="M6" s="13">
        <f t="shared" si="2"/>
        <v>1917.6623376623368</v>
      </c>
      <c r="N6" s="12">
        <f t="shared" si="3"/>
        <v>119.85389610389605</v>
      </c>
      <c r="O6" s="14">
        <f t="shared" si="4"/>
        <v>0</v>
      </c>
      <c r="P6" s="15">
        <f t="shared" si="5"/>
        <v>-5.146103896103952</v>
      </c>
      <c r="Q6" s="137">
        <f t="shared" si="6"/>
        <v>0.95883116883116837</v>
      </c>
      <c r="R6" s="616"/>
      <c r="S6" s="32">
        <v>0.76527777777777783</v>
      </c>
      <c r="T6" s="32">
        <v>0.81875000000000009</v>
      </c>
      <c r="U6" s="138">
        <f t="shared" ref="U6" si="10">IF(S6=TIME(17,0,0),"",(S6-T5)*24*60)</f>
        <v>6.9999999999999751</v>
      </c>
      <c r="V6" s="147">
        <f t="shared" si="7"/>
        <v>77.000000000000043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-82.337662337663232</v>
      </c>
      <c r="AF6" s="137">
        <f t="shared" si="9"/>
        <v>0.95883116883116837</v>
      </c>
      <c r="AG6" s="616"/>
    </row>
    <row r="7" spans="1:33">
      <c r="A7" s="644" t="s">
        <v>460</v>
      </c>
      <c r="B7" s="27" t="s">
        <v>461</v>
      </c>
      <c r="C7" s="658"/>
      <c r="D7" s="658"/>
      <c r="E7" s="140"/>
      <c r="F7" s="28"/>
      <c r="G7" s="12"/>
      <c r="H7" s="148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1914.0311688311676</v>
      </c>
      <c r="N7" s="12">
        <f t="shared" si="3"/>
        <v>123.48588186007534</v>
      </c>
      <c r="O7" s="14">
        <f t="shared" si="4"/>
        <v>0</v>
      </c>
      <c r="P7" s="15">
        <f t="shared" si="5"/>
        <v>-5.54637620444079</v>
      </c>
      <c r="Q7" s="137">
        <f t="shared" si="6"/>
        <v>0.95701558441558388</v>
      </c>
      <c r="R7" s="616"/>
      <c r="S7" s="32"/>
      <c r="T7" s="32"/>
      <c r="U7" s="138"/>
      <c r="V7" s="147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-85.968831168832367</v>
      </c>
      <c r="AF7" s="137">
        <f t="shared" si="9"/>
        <v>0.95701558441558376</v>
      </c>
      <c r="AG7" s="616"/>
    </row>
    <row r="8" spans="1:33" ht="15.75" customHeight="1">
      <c r="A8" s="640" t="s">
        <v>462</v>
      </c>
      <c r="B8" s="27" t="s">
        <v>8</v>
      </c>
      <c r="C8" s="638" t="s">
        <v>9</v>
      </c>
      <c r="D8" s="639"/>
      <c r="E8" s="27">
        <v>39.619999999999997</v>
      </c>
      <c r="F8" s="148">
        <v>4707</v>
      </c>
      <c r="G8" s="138">
        <f t="shared" ref="G8:G11" si="11">E8*F8</f>
        <v>186491.34</v>
      </c>
      <c r="H8" s="31" t="s">
        <v>40</v>
      </c>
      <c r="I8" s="146">
        <v>19</v>
      </c>
      <c r="J8" s="29">
        <v>1500</v>
      </c>
      <c r="K8" s="12">
        <f t="shared" si="1"/>
        <v>78.94736842105263</v>
      </c>
      <c r="L8" s="146">
        <v>19</v>
      </c>
      <c r="M8" s="13">
        <f t="shared" ref="M8:M11" si="12">F8/V8*60</f>
        <v>1433.6040609137053</v>
      </c>
      <c r="N8" s="12">
        <f t="shared" si="3"/>
        <v>75.452845311247643</v>
      </c>
      <c r="O8" s="14">
        <f t="shared" si="4"/>
        <v>0</v>
      </c>
      <c r="P8" s="15">
        <f t="shared" si="5"/>
        <v>-3.4945231098049874</v>
      </c>
      <c r="Q8" s="137">
        <f t="shared" si="6"/>
        <v>0.95573604060913686</v>
      </c>
      <c r="R8" s="616">
        <f>Q12</f>
        <v>0.95755453897946463</v>
      </c>
      <c r="S8" s="32">
        <v>8.3333333333333329E-2</v>
      </c>
      <c r="T8" s="32">
        <v>0.22013888888888888</v>
      </c>
      <c r="U8" s="138"/>
      <c r="V8" s="147">
        <f t="shared" ref="V8:V11" si="13">(T8-S8)*24*60</f>
        <v>197.00000000000003</v>
      </c>
      <c r="W8" s="16">
        <f>T8</f>
        <v>0.22013888888888888</v>
      </c>
      <c r="X8" s="16">
        <f>S9</f>
        <v>0.23958333333333334</v>
      </c>
      <c r="Y8" s="16"/>
      <c r="Z8" s="16"/>
      <c r="AA8" s="612"/>
      <c r="AB8" s="612"/>
      <c r="AC8" s="18">
        <v>4</v>
      </c>
      <c r="AD8" s="18"/>
      <c r="AE8" s="14">
        <f t="shared" si="8"/>
        <v>-66.395939086294675</v>
      </c>
      <c r="AF8" s="137">
        <f t="shared" si="9"/>
        <v>0.95573604060913686</v>
      </c>
      <c r="AG8" s="616">
        <f>AF12</f>
        <v>0.95755453897946452</v>
      </c>
    </row>
    <row r="9" spans="1:33" ht="15.75" customHeight="1">
      <c r="A9" s="640" t="s">
        <v>462</v>
      </c>
      <c r="B9" s="27" t="s">
        <v>8</v>
      </c>
      <c r="C9" s="638" t="s">
        <v>63</v>
      </c>
      <c r="D9" s="639"/>
      <c r="E9" s="27">
        <v>39.46</v>
      </c>
      <c r="F9" s="148">
        <v>4093</v>
      </c>
      <c r="G9" s="138">
        <f t="shared" si="11"/>
        <v>161509.78</v>
      </c>
      <c r="H9" s="31" t="s">
        <v>40</v>
      </c>
      <c r="I9" s="146">
        <v>15</v>
      </c>
      <c r="J9" s="29">
        <v>1500</v>
      </c>
      <c r="K9" s="12">
        <f t="shared" si="1"/>
        <v>100</v>
      </c>
      <c r="L9" s="146">
        <v>15</v>
      </c>
      <c r="M9" s="13">
        <f t="shared" si="12"/>
        <v>1436.1403508771932</v>
      </c>
      <c r="N9" s="12">
        <f t="shared" si="3"/>
        <v>95.742690058479553</v>
      </c>
      <c r="O9" s="14">
        <f t="shared" si="4"/>
        <v>0</v>
      </c>
      <c r="P9" s="15">
        <f t="shared" si="5"/>
        <v>-4.2573099415204467</v>
      </c>
      <c r="Q9" s="137">
        <f t="shared" si="6"/>
        <v>0.95742690058479551</v>
      </c>
      <c r="R9" s="616"/>
      <c r="S9" s="32">
        <v>0.23958333333333334</v>
      </c>
      <c r="T9" s="32">
        <v>0.35833333333333334</v>
      </c>
      <c r="U9" s="138">
        <f t="shared" ref="U9:U11" si="14">IF(S9=TIME(17,0,0),"",(S9-T8)*24*60)</f>
        <v>28.000000000000021</v>
      </c>
      <c r="V9" s="147">
        <f t="shared" si="13"/>
        <v>170.99999999999997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-63.859649122806786</v>
      </c>
      <c r="AF9" s="137">
        <f t="shared" si="9"/>
        <v>0.95742690058479551</v>
      </c>
      <c r="AG9" s="616"/>
    </row>
    <row r="10" spans="1:33" ht="15.75" customHeight="1">
      <c r="A10" s="640" t="s">
        <v>462</v>
      </c>
      <c r="B10" s="27" t="s">
        <v>8</v>
      </c>
      <c r="C10" s="638" t="s">
        <v>10</v>
      </c>
      <c r="D10" s="639"/>
      <c r="E10" s="27">
        <v>39.799999999999997</v>
      </c>
      <c r="F10" s="148">
        <v>3900</v>
      </c>
      <c r="G10" s="138">
        <f t="shared" si="11"/>
        <v>155220</v>
      </c>
      <c r="H10" s="31">
        <v>2</v>
      </c>
      <c r="I10" s="146">
        <v>17</v>
      </c>
      <c r="J10" s="29">
        <v>1500</v>
      </c>
      <c r="K10" s="12">
        <f t="shared" si="1"/>
        <v>88.235294117647058</v>
      </c>
      <c r="L10" s="146">
        <v>17</v>
      </c>
      <c r="M10" s="13">
        <f t="shared" si="12"/>
        <v>1435.5828220858898</v>
      </c>
      <c r="N10" s="12">
        <f t="shared" si="3"/>
        <v>84.446048357993519</v>
      </c>
      <c r="O10" s="14">
        <f t="shared" si="4"/>
        <v>0</v>
      </c>
      <c r="P10" s="15">
        <f t="shared" si="5"/>
        <v>-3.7892457596535394</v>
      </c>
      <c r="Q10" s="137">
        <f t="shared" si="6"/>
        <v>0.95705521472392652</v>
      </c>
      <c r="R10" s="616"/>
      <c r="S10" s="32">
        <v>0.36388888888888887</v>
      </c>
      <c r="T10" s="32">
        <v>0.4770833333333333</v>
      </c>
      <c r="U10" s="138">
        <f t="shared" si="14"/>
        <v>7.9999999999999716</v>
      </c>
      <c r="V10" s="147">
        <f t="shared" si="13"/>
        <v>162.99999999999997</v>
      </c>
      <c r="W10" s="16">
        <f>T10</f>
        <v>0.4770833333333333</v>
      </c>
      <c r="X10" s="16">
        <f>S11</f>
        <v>0.51736111111111105</v>
      </c>
      <c r="Y10" s="16"/>
      <c r="Z10" s="16"/>
      <c r="AA10" s="612"/>
      <c r="AB10" s="612"/>
      <c r="AC10" s="18"/>
      <c r="AD10" s="18"/>
      <c r="AE10" s="14">
        <f t="shared" si="8"/>
        <v>-64.417177914110198</v>
      </c>
      <c r="AF10" s="137">
        <f t="shared" si="9"/>
        <v>0.95705521472392652</v>
      </c>
      <c r="AG10" s="616"/>
    </row>
    <row r="11" spans="1:33" ht="15.75" customHeight="1">
      <c r="A11" s="640" t="s">
        <v>462</v>
      </c>
      <c r="B11" s="27" t="s">
        <v>8</v>
      </c>
      <c r="C11" s="638" t="s">
        <v>10</v>
      </c>
      <c r="D11" s="639"/>
      <c r="E11" s="27">
        <v>39.799999999999997</v>
      </c>
      <c r="F11" s="148">
        <v>2880</v>
      </c>
      <c r="G11" s="138">
        <f t="shared" si="11"/>
        <v>114623.99999999999</v>
      </c>
      <c r="H11" s="31" t="s">
        <v>40</v>
      </c>
      <c r="I11" s="146">
        <v>17</v>
      </c>
      <c r="J11" s="29">
        <v>1500</v>
      </c>
      <c r="K11" s="12">
        <f t="shared" si="1"/>
        <v>88.235294117647058</v>
      </c>
      <c r="L11" s="146">
        <v>17</v>
      </c>
      <c r="M11" s="13">
        <f t="shared" si="12"/>
        <v>1439.9999999999993</v>
      </c>
      <c r="N11" s="12">
        <f t="shared" si="3"/>
        <v>84.705882352941131</v>
      </c>
      <c r="O11" s="14">
        <f t="shared" si="4"/>
        <v>0</v>
      </c>
      <c r="P11" s="15">
        <f t="shared" si="5"/>
        <v>-3.5294117647059267</v>
      </c>
      <c r="Q11" s="137">
        <f t="shared" si="6"/>
        <v>0.95999999999999952</v>
      </c>
      <c r="R11" s="616"/>
      <c r="S11" s="32">
        <v>0.51736111111111105</v>
      </c>
      <c r="T11" s="32">
        <v>0.60069444444444442</v>
      </c>
      <c r="U11" s="138">
        <f t="shared" si="14"/>
        <v>57.999999999999957</v>
      </c>
      <c r="V11" s="147">
        <f t="shared" si="13"/>
        <v>120.00000000000006</v>
      </c>
      <c r="W11" s="16"/>
      <c r="X11" s="16"/>
      <c r="Y11" s="16"/>
      <c r="Z11" s="16"/>
      <c r="AA11" s="607"/>
      <c r="AB11" s="608"/>
      <c r="AC11" s="18"/>
      <c r="AD11" s="18"/>
      <c r="AE11" s="14">
        <f t="shared" si="8"/>
        <v>-60.000000000000682</v>
      </c>
      <c r="AF11" s="137">
        <f t="shared" si="9"/>
        <v>0.95999999999999952</v>
      </c>
      <c r="AG11" s="616"/>
    </row>
    <row r="12" spans="1:33" ht="16.5" customHeight="1">
      <c r="A12" s="640" t="s">
        <v>462</v>
      </c>
      <c r="B12" s="27" t="s">
        <v>461</v>
      </c>
      <c r="C12" s="658"/>
      <c r="D12" s="658"/>
      <c r="E12" s="140"/>
      <c r="F12" s="29"/>
      <c r="G12" s="13"/>
      <c r="H12" s="148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1436.3318084691969</v>
      </c>
      <c r="N12" s="12">
        <f t="shared" si="3"/>
        <v>84.490106380540993</v>
      </c>
      <c r="O12" s="14">
        <f t="shared" si="4"/>
        <v>0</v>
      </c>
      <c r="P12" s="15">
        <f t="shared" si="5"/>
        <v>-3.7451877371060647</v>
      </c>
      <c r="Q12" s="137">
        <f t="shared" si="6"/>
        <v>0.95755453897946463</v>
      </c>
      <c r="R12" s="616"/>
      <c r="S12" s="32"/>
      <c r="T12" s="32"/>
      <c r="U12" s="12"/>
      <c r="V12" s="147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-63.668191530803142</v>
      </c>
      <c r="AF12" s="137">
        <f t="shared" si="9"/>
        <v>0.95755453897946452</v>
      </c>
      <c r="AG12" s="616"/>
    </row>
    <row r="13" spans="1:33" ht="16.5" customHeight="1">
      <c r="A13" s="636" t="s">
        <v>463</v>
      </c>
      <c r="B13" s="148" t="s">
        <v>11</v>
      </c>
      <c r="C13" s="659" t="s">
        <v>67</v>
      </c>
      <c r="D13" s="659"/>
      <c r="E13" s="27">
        <v>38.619999999999997</v>
      </c>
      <c r="F13" s="148">
        <v>2004</v>
      </c>
      <c r="G13" s="138">
        <f t="shared" ref="G13:G18" si="15">E13*F13</f>
        <v>77394.48</v>
      </c>
      <c r="H13" s="31" t="s">
        <v>40</v>
      </c>
      <c r="I13" s="146">
        <v>24</v>
      </c>
      <c r="J13" s="29">
        <v>1500</v>
      </c>
      <c r="K13" s="12">
        <f t="shared" si="1"/>
        <v>62.5</v>
      </c>
      <c r="L13" s="146">
        <v>24</v>
      </c>
      <c r="M13" s="13">
        <f t="shared" ref="M13:M18" si="16">F13/V13*60</f>
        <v>1431.4285714285716</v>
      </c>
      <c r="N13" s="12">
        <f t="shared" si="3"/>
        <v>59.642857142857146</v>
      </c>
      <c r="O13" s="14">
        <f t="shared" si="4"/>
        <v>0</v>
      </c>
      <c r="P13" s="15">
        <f t="shared" si="5"/>
        <v>-2.8571428571428541</v>
      </c>
      <c r="Q13" s="137">
        <f t="shared" si="6"/>
        <v>0.95428571428571429</v>
      </c>
      <c r="R13" s="616">
        <f>Q19</f>
        <v>0.95941936877273404</v>
      </c>
      <c r="S13" s="32">
        <v>8.3333333333333329E-2</v>
      </c>
      <c r="T13" s="32">
        <v>0.14166666666666666</v>
      </c>
      <c r="U13" s="138"/>
      <c r="V13" s="147">
        <f t="shared" ref="V13:V18" si="17">(T13-S13)*24*60</f>
        <v>84</v>
      </c>
      <c r="W13" s="16">
        <f>T13</f>
        <v>0.14166666666666666</v>
      </c>
      <c r="X13" s="16">
        <f>S14</f>
        <v>0.16111111111111112</v>
      </c>
      <c r="Y13" s="20"/>
      <c r="Z13" s="20"/>
      <c r="AA13" s="612"/>
      <c r="AB13" s="612"/>
      <c r="AC13" s="18">
        <v>6</v>
      </c>
      <c r="AD13" s="18"/>
      <c r="AE13" s="14">
        <f t="shared" si="8"/>
        <v>-68.571428571428442</v>
      </c>
      <c r="AF13" s="137">
        <f t="shared" si="9"/>
        <v>0.9542857142857144</v>
      </c>
      <c r="AG13" s="616">
        <f>AF19</f>
        <v>0.95941936877273415</v>
      </c>
    </row>
    <row r="14" spans="1:33" ht="16.5" customHeight="1">
      <c r="A14" s="637" t="s">
        <v>463</v>
      </c>
      <c r="B14" s="148" t="s">
        <v>11</v>
      </c>
      <c r="C14" s="659" t="s">
        <v>12</v>
      </c>
      <c r="D14" s="659"/>
      <c r="E14" s="27">
        <v>41</v>
      </c>
      <c r="F14" s="148">
        <v>1755</v>
      </c>
      <c r="G14" s="138">
        <f t="shared" si="15"/>
        <v>71955</v>
      </c>
      <c r="H14" s="31" t="s">
        <v>40</v>
      </c>
      <c r="I14" s="146">
        <v>26</v>
      </c>
      <c r="J14" s="29">
        <v>1500</v>
      </c>
      <c r="K14" s="12">
        <f t="shared" si="1"/>
        <v>57.692307692307693</v>
      </c>
      <c r="L14" s="146">
        <v>26</v>
      </c>
      <c r="M14" s="13">
        <f t="shared" si="16"/>
        <v>1442.4657534246578</v>
      </c>
      <c r="N14" s="12">
        <f t="shared" si="3"/>
        <v>55.479452054794528</v>
      </c>
      <c r="O14" s="14">
        <f t="shared" si="4"/>
        <v>0</v>
      </c>
      <c r="P14" s="15">
        <f t="shared" si="5"/>
        <v>-2.2128556375131652</v>
      </c>
      <c r="Q14" s="137">
        <f t="shared" si="6"/>
        <v>0.96164383561643851</v>
      </c>
      <c r="R14" s="616"/>
      <c r="S14" s="32">
        <v>0.16111111111111112</v>
      </c>
      <c r="T14" s="32">
        <v>0.21180555555555555</v>
      </c>
      <c r="U14" s="138">
        <f t="shared" ref="U14:U18" si="18">IF(S14=TIME(17,0,0),"",(S14-T13)*24*60)</f>
        <v>28.000000000000021</v>
      </c>
      <c r="V14" s="147">
        <f t="shared" si="17"/>
        <v>72.999999999999986</v>
      </c>
      <c r="W14" s="16"/>
      <c r="X14" s="16"/>
      <c r="Y14" s="16"/>
      <c r="Z14" s="16"/>
      <c r="AA14" s="612"/>
      <c r="AB14" s="612"/>
      <c r="AC14" s="18"/>
      <c r="AD14" s="18"/>
      <c r="AE14" s="14">
        <f t="shared" si="8"/>
        <v>-57.534246575342195</v>
      </c>
      <c r="AF14" s="137">
        <f t="shared" si="9"/>
        <v>0.96164383561643851</v>
      </c>
      <c r="AG14" s="616"/>
    </row>
    <row r="15" spans="1:33" ht="16.5" customHeight="1">
      <c r="A15" s="637" t="s">
        <v>463</v>
      </c>
      <c r="B15" s="148" t="s">
        <v>5</v>
      </c>
      <c r="C15" s="659" t="s">
        <v>66</v>
      </c>
      <c r="D15" s="659"/>
      <c r="E15" s="27">
        <v>37.03</v>
      </c>
      <c r="F15" s="148">
        <v>3017</v>
      </c>
      <c r="G15" s="138">
        <f t="shared" si="15"/>
        <v>111719.51000000001</v>
      </c>
      <c r="H15" s="31" t="s">
        <v>40</v>
      </c>
      <c r="I15" s="146">
        <v>13</v>
      </c>
      <c r="J15" s="29">
        <v>1500</v>
      </c>
      <c r="K15" s="12">
        <f t="shared" si="1"/>
        <v>115.38461538461539</v>
      </c>
      <c r="L15" s="146">
        <v>13</v>
      </c>
      <c r="M15" s="13">
        <f t="shared" si="16"/>
        <v>1436.6666666666663</v>
      </c>
      <c r="N15" s="12">
        <f t="shared" si="3"/>
        <v>110.51282051282048</v>
      </c>
      <c r="O15" s="14">
        <f t="shared" si="4"/>
        <v>0</v>
      </c>
      <c r="P15" s="15">
        <f t="shared" si="5"/>
        <v>-4.8717948717949042</v>
      </c>
      <c r="Q15" s="137">
        <f t="shared" si="6"/>
        <v>0.95777777777777751</v>
      </c>
      <c r="R15" s="616"/>
      <c r="S15" s="32">
        <v>0.21666666666666667</v>
      </c>
      <c r="T15" s="32">
        <v>0.3041666666666667</v>
      </c>
      <c r="U15" s="138">
        <f t="shared" si="18"/>
        <v>7.0000000000000151</v>
      </c>
      <c r="V15" s="147">
        <f t="shared" si="17"/>
        <v>126.00000000000003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-63.333333333333712</v>
      </c>
      <c r="AF15" s="137">
        <f t="shared" si="9"/>
        <v>0.95777777777777751</v>
      </c>
      <c r="AG15" s="616"/>
    </row>
    <row r="16" spans="1:33" ht="16.5" customHeight="1">
      <c r="A16" s="637" t="s">
        <v>463</v>
      </c>
      <c r="B16" s="148" t="s">
        <v>8</v>
      </c>
      <c r="C16" s="659" t="s">
        <v>74</v>
      </c>
      <c r="D16" s="659"/>
      <c r="E16" s="27">
        <v>39.520000000000003</v>
      </c>
      <c r="F16" s="148">
        <v>3153</v>
      </c>
      <c r="G16" s="138">
        <f t="shared" si="15"/>
        <v>124606.56000000001</v>
      </c>
      <c r="H16" s="31" t="s">
        <v>40</v>
      </c>
      <c r="I16" s="146">
        <v>19</v>
      </c>
      <c r="J16" s="29">
        <v>1500</v>
      </c>
      <c r="K16" s="12">
        <f t="shared" si="1"/>
        <v>78.94736842105263</v>
      </c>
      <c r="L16" s="146">
        <v>19</v>
      </c>
      <c r="M16" s="13">
        <f t="shared" si="16"/>
        <v>1433.1818181818182</v>
      </c>
      <c r="N16" s="12">
        <f t="shared" si="3"/>
        <v>75.430622009569376</v>
      </c>
      <c r="O16" s="14">
        <f t="shared" si="4"/>
        <v>0</v>
      </c>
      <c r="P16" s="15">
        <f t="shared" si="5"/>
        <v>-3.5167464114832541</v>
      </c>
      <c r="Q16" s="137">
        <f t="shared" si="6"/>
        <v>0.95545454545454545</v>
      </c>
      <c r="R16" s="616"/>
      <c r="S16" s="32">
        <v>0.30833333333333335</v>
      </c>
      <c r="T16" s="32">
        <v>0.4</v>
      </c>
      <c r="U16" s="138">
        <f t="shared" si="18"/>
        <v>5.9999999999999787</v>
      </c>
      <c r="V16" s="147">
        <f t="shared" si="17"/>
        <v>132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-66.818181818181756</v>
      </c>
      <c r="AF16" s="137">
        <f t="shared" si="9"/>
        <v>0.95545454545454545</v>
      </c>
      <c r="AG16" s="616"/>
    </row>
    <row r="17" spans="1:33" ht="16.5" customHeight="1">
      <c r="A17" s="637" t="s">
        <v>463</v>
      </c>
      <c r="B17" s="148" t="s">
        <v>5</v>
      </c>
      <c r="C17" s="659" t="s">
        <v>6</v>
      </c>
      <c r="D17" s="659"/>
      <c r="E17" s="27">
        <v>50.67</v>
      </c>
      <c r="F17" s="148">
        <v>1564</v>
      </c>
      <c r="G17" s="138">
        <f t="shared" si="15"/>
        <v>79247.88</v>
      </c>
      <c r="H17" s="31" t="s">
        <v>40</v>
      </c>
      <c r="I17" s="146">
        <v>17</v>
      </c>
      <c r="J17" s="29">
        <v>2000</v>
      </c>
      <c r="K17" s="12">
        <f t="shared" si="1"/>
        <v>117.64705882352941</v>
      </c>
      <c r="L17" s="146">
        <v>17</v>
      </c>
      <c r="M17" s="13">
        <f t="shared" si="16"/>
        <v>1915.102040816327</v>
      </c>
      <c r="N17" s="12">
        <f t="shared" si="3"/>
        <v>112.65306122448982</v>
      </c>
      <c r="O17" s="14">
        <f t="shared" si="4"/>
        <v>0</v>
      </c>
      <c r="P17" s="15">
        <f t="shared" si="5"/>
        <v>-4.993997599039588</v>
      </c>
      <c r="Q17" s="137">
        <f t="shared" si="6"/>
        <v>0.95755102040816353</v>
      </c>
      <c r="R17" s="616"/>
      <c r="S17" s="32">
        <v>0.70833333333333337</v>
      </c>
      <c r="T17" s="32">
        <v>0.74236111111111114</v>
      </c>
      <c r="U17" s="138" t="str">
        <f t="shared" si="18"/>
        <v/>
      </c>
      <c r="V17" s="147">
        <f t="shared" si="17"/>
        <v>48.999999999999986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-84.897959183673038</v>
      </c>
      <c r="AF17" s="137">
        <f t="shared" si="9"/>
        <v>0.95755102040816353</v>
      </c>
      <c r="AG17" s="616"/>
    </row>
    <row r="18" spans="1:33" ht="16.5" customHeight="1">
      <c r="A18" s="637" t="s">
        <v>463</v>
      </c>
      <c r="B18" s="148" t="s">
        <v>5</v>
      </c>
      <c r="C18" s="106" t="s">
        <v>7</v>
      </c>
      <c r="D18" s="107"/>
      <c r="E18" s="27">
        <v>50.67</v>
      </c>
      <c r="F18" s="148">
        <v>1387</v>
      </c>
      <c r="G18" s="138">
        <f t="shared" si="15"/>
        <v>70279.290000000008</v>
      </c>
      <c r="H18" s="31" t="s">
        <v>40</v>
      </c>
      <c r="I18" s="146">
        <v>15</v>
      </c>
      <c r="J18" s="29">
        <v>2000</v>
      </c>
      <c r="K18" s="12">
        <f t="shared" si="1"/>
        <v>133.33333333333334</v>
      </c>
      <c r="L18" s="146">
        <v>15</v>
      </c>
      <c r="M18" s="13">
        <f t="shared" si="16"/>
        <v>1935.3488372093018</v>
      </c>
      <c r="N18" s="12">
        <f t="shared" si="3"/>
        <v>129.02325581395345</v>
      </c>
      <c r="O18" s="14">
        <f t="shared" si="4"/>
        <v>0</v>
      </c>
      <c r="P18" s="15">
        <f t="shared" si="5"/>
        <v>-4.3100775193798881</v>
      </c>
      <c r="Q18" s="137">
        <f t="shared" si="6"/>
        <v>0.96767441860465087</v>
      </c>
      <c r="R18" s="616"/>
      <c r="S18" s="32">
        <v>0.74722222222222223</v>
      </c>
      <c r="T18" s="32">
        <v>0.77708333333333335</v>
      </c>
      <c r="U18" s="138">
        <f t="shared" si="18"/>
        <v>6.9999999999999751</v>
      </c>
      <c r="V18" s="147">
        <f t="shared" si="17"/>
        <v>43.000000000000007</v>
      </c>
      <c r="W18" s="16"/>
      <c r="X18" s="16"/>
      <c r="Y18" s="19"/>
      <c r="Z18" s="19"/>
      <c r="AA18" s="144"/>
      <c r="AB18" s="145"/>
      <c r="AC18" s="18"/>
      <c r="AD18" s="18"/>
      <c r="AE18" s="14">
        <f t="shared" si="8"/>
        <v>-64.651162790698208</v>
      </c>
      <c r="AF18" s="137">
        <f t="shared" si="9"/>
        <v>0.96767441860465087</v>
      </c>
      <c r="AG18" s="616"/>
    </row>
    <row r="19" spans="1:33" ht="16.5" customHeight="1">
      <c r="A19" s="637" t="s">
        <v>463</v>
      </c>
      <c r="B19" s="27" t="s">
        <v>461</v>
      </c>
      <c r="C19" s="658"/>
      <c r="D19" s="658"/>
      <c r="E19" s="140"/>
      <c r="F19" s="28"/>
      <c r="G19" s="12"/>
      <c r="H19" s="148"/>
      <c r="I19" s="21">
        <v>19</v>
      </c>
      <c r="J19" s="29">
        <v>1666.6666666666667</v>
      </c>
      <c r="K19" s="12">
        <f t="shared" si="1"/>
        <v>87.719298245614041</v>
      </c>
      <c r="L19" s="21">
        <v>19</v>
      </c>
      <c r="M19" s="13">
        <f>AVERAGE(M13:M18)</f>
        <v>1599.0322812878903</v>
      </c>
      <c r="N19" s="12">
        <f t="shared" si="3"/>
        <v>84.159593751994223</v>
      </c>
      <c r="O19" s="14">
        <f t="shared" si="4"/>
        <v>0</v>
      </c>
      <c r="P19" s="15">
        <f t="shared" si="5"/>
        <v>-3.5597044936198188</v>
      </c>
      <c r="Q19" s="137">
        <f t="shared" si="6"/>
        <v>0.95941936877273404</v>
      </c>
      <c r="R19" s="616"/>
      <c r="S19" s="32"/>
      <c r="T19" s="32"/>
      <c r="U19" s="138"/>
      <c r="V19" s="147"/>
      <c r="W19" s="12"/>
      <c r="X19" s="12"/>
      <c r="Y19" s="22">
        <f>SUM(Y13:Y18)</f>
        <v>0</v>
      </c>
      <c r="Z19" s="22">
        <f>SUM(Z13:Z18)</f>
        <v>0</v>
      </c>
      <c r="AA19" s="611"/>
      <c r="AB19" s="611"/>
      <c r="AC19" s="22">
        <v>6</v>
      </c>
      <c r="AD19" s="22">
        <f>SUM(AD13:AD18)</f>
        <v>0</v>
      </c>
      <c r="AE19" s="14">
        <f t="shared" si="8"/>
        <v>-67.634385378776415</v>
      </c>
      <c r="AF19" s="137">
        <f t="shared" si="9"/>
        <v>0.95941936877273415</v>
      </c>
      <c r="AG19" s="616"/>
    </row>
    <row r="20" spans="1:33" ht="15.75" customHeight="1">
      <c r="A20" s="634" t="s">
        <v>464</v>
      </c>
      <c r="B20" s="27" t="s">
        <v>5</v>
      </c>
      <c r="C20" s="659" t="s">
        <v>16</v>
      </c>
      <c r="D20" s="659"/>
      <c r="E20" s="27">
        <v>50.67</v>
      </c>
      <c r="F20" s="148">
        <v>1827</v>
      </c>
      <c r="G20" s="138">
        <f t="shared" ref="G20:G25" si="19">E20*F20</f>
        <v>92574.09</v>
      </c>
      <c r="H20" s="31" t="s">
        <v>40</v>
      </c>
      <c r="I20" s="146">
        <v>17</v>
      </c>
      <c r="J20" s="29">
        <v>2000</v>
      </c>
      <c r="K20" s="12">
        <f t="shared" si="1"/>
        <v>117.64705882352941</v>
      </c>
      <c r="L20" s="146">
        <v>17</v>
      </c>
      <c r="M20" s="13">
        <f t="shared" ref="M20:M25" si="20">F20/V20*60</f>
        <v>1923.1578947368421</v>
      </c>
      <c r="N20" s="12">
        <f t="shared" si="3"/>
        <v>113.12693498452012</v>
      </c>
      <c r="O20" s="14">
        <f t="shared" si="4"/>
        <v>0</v>
      </c>
      <c r="P20" s="15">
        <f t="shared" si="5"/>
        <v>-4.5201238390092868</v>
      </c>
      <c r="Q20" s="137">
        <f t="shared" si="6"/>
        <v>0.96157894736842109</v>
      </c>
      <c r="R20" s="616">
        <f>Q26</f>
        <v>0.95870202100597457</v>
      </c>
      <c r="S20" s="32">
        <v>0.20833333333333334</v>
      </c>
      <c r="T20" s="32">
        <v>0.24791666666666667</v>
      </c>
      <c r="U20" s="138"/>
      <c r="V20" s="147">
        <f t="shared" ref="V20:V25" si="21">(T20-S20)*24*60</f>
        <v>57</v>
      </c>
      <c r="W20" s="16"/>
      <c r="X20" s="16"/>
      <c r="Y20" s="20"/>
      <c r="Z20" s="20"/>
      <c r="AA20" s="612"/>
      <c r="AB20" s="612"/>
      <c r="AC20" s="18">
        <v>6</v>
      </c>
      <c r="AD20" s="18"/>
      <c r="AE20" s="14">
        <f t="shared" si="8"/>
        <v>-76.842105263157919</v>
      </c>
      <c r="AF20" s="137">
        <f t="shared" si="9"/>
        <v>0.96157894736842109</v>
      </c>
      <c r="AG20" s="616">
        <f>AF26</f>
        <v>0.95870202100597457</v>
      </c>
    </row>
    <row r="21" spans="1:33" ht="15.75" customHeight="1">
      <c r="A21" s="635" t="s">
        <v>179</v>
      </c>
      <c r="B21" s="27" t="s">
        <v>5</v>
      </c>
      <c r="C21" s="659" t="s">
        <v>17</v>
      </c>
      <c r="D21" s="659"/>
      <c r="E21" s="27">
        <v>57.73</v>
      </c>
      <c r="F21" s="148">
        <v>2343</v>
      </c>
      <c r="G21" s="138">
        <f t="shared" si="19"/>
        <v>135261.38999999998</v>
      </c>
      <c r="H21" s="31" t="s">
        <v>40</v>
      </c>
      <c r="I21" s="146">
        <v>14</v>
      </c>
      <c r="J21" s="29">
        <v>2000</v>
      </c>
      <c r="K21" s="12">
        <f t="shared" si="1"/>
        <v>142.85714285714286</v>
      </c>
      <c r="L21" s="146">
        <v>14</v>
      </c>
      <c r="M21" s="13">
        <f t="shared" si="20"/>
        <v>1925.7534246575344</v>
      </c>
      <c r="N21" s="12">
        <f t="shared" si="3"/>
        <v>137.55381604696674</v>
      </c>
      <c r="O21" s="14">
        <f t="shared" si="4"/>
        <v>0</v>
      </c>
      <c r="P21" s="15">
        <f t="shared" si="5"/>
        <v>-5.3033268101761166</v>
      </c>
      <c r="Q21" s="137">
        <f t="shared" si="6"/>
        <v>0.96287671232876715</v>
      </c>
      <c r="R21" s="616"/>
      <c r="S21" s="32">
        <v>0.25208333333333333</v>
      </c>
      <c r="T21" s="32">
        <v>0.30277777777777776</v>
      </c>
      <c r="U21" s="138">
        <f t="shared" ref="U21:U25" si="22">IF(S21=TIME(17,0,0),"",(S21-T20)*24*60)</f>
        <v>5.9999999999999787</v>
      </c>
      <c r="V21" s="147">
        <f t="shared" si="21"/>
        <v>72.999999999999986</v>
      </c>
      <c r="W21" s="16"/>
      <c r="X21" s="138"/>
      <c r="Y21" s="138"/>
      <c r="Z21" s="138"/>
      <c r="AA21" s="612"/>
      <c r="AB21" s="612"/>
      <c r="AC21" s="18"/>
      <c r="AD21" s="18"/>
      <c r="AE21" s="14">
        <f t="shared" si="8"/>
        <v>-74.246575342465576</v>
      </c>
      <c r="AF21" s="137">
        <f t="shared" si="9"/>
        <v>0.96287671232876726</v>
      </c>
      <c r="AG21" s="616"/>
    </row>
    <row r="22" spans="1:33" ht="15.75" customHeight="1">
      <c r="A22" s="635" t="s">
        <v>464</v>
      </c>
      <c r="B22" s="27" t="s">
        <v>5</v>
      </c>
      <c r="C22" s="659" t="s">
        <v>60</v>
      </c>
      <c r="D22" s="659"/>
      <c r="E22" s="27">
        <v>53.27</v>
      </c>
      <c r="F22" s="148">
        <v>1531</v>
      </c>
      <c r="G22" s="138">
        <f t="shared" si="19"/>
        <v>81556.37000000001</v>
      </c>
      <c r="H22" s="31" t="s">
        <v>40</v>
      </c>
      <c r="I22" s="146">
        <v>16</v>
      </c>
      <c r="J22" s="29">
        <v>2000</v>
      </c>
      <c r="K22" s="12">
        <f t="shared" si="1"/>
        <v>125</v>
      </c>
      <c r="L22" s="146">
        <v>16</v>
      </c>
      <c r="M22" s="13">
        <f t="shared" si="20"/>
        <v>1913.7500000000005</v>
      </c>
      <c r="N22" s="12">
        <f t="shared" si="3"/>
        <v>119.60937500000003</v>
      </c>
      <c r="O22" s="14">
        <f t="shared" si="4"/>
        <v>0</v>
      </c>
      <c r="P22" s="15">
        <f t="shared" si="5"/>
        <v>-5.3906249999999716</v>
      </c>
      <c r="Q22" s="137">
        <f t="shared" si="6"/>
        <v>0.95687500000000025</v>
      </c>
      <c r="R22" s="616"/>
      <c r="S22" s="32">
        <v>0.30763888888888885</v>
      </c>
      <c r="T22" s="32">
        <v>0.34097222222222218</v>
      </c>
      <c r="U22" s="138">
        <f t="shared" si="22"/>
        <v>6.9999999999999751</v>
      </c>
      <c r="V22" s="147">
        <f t="shared" si="21"/>
        <v>47.999999999999986</v>
      </c>
      <c r="W22" s="16"/>
      <c r="X22" s="138"/>
      <c r="Y22" s="138"/>
      <c r="Z22" s="138"/>
      <c r="AA22" s="612"/>
      <c r="AB22" s="612"/>
      <c r="AC22" s="18"/>
      <c r="AD22" s="18"/>
      <c r="AE22" s="14">
        <f t="shared" si="8"/>
        <v>-86.249999999999545</v>
      </c>
      <c r="AF22" s="137">
        <f t="shared" si="9"/>
        <v>0.95687500000000025</v>
      </c>
      <c r="AG22" s="616"/>
    </row>
    <row r="23" spans="1:33" ht="15.75" customHeight="1">
      <c r="A23" s="635" t="s">
        <v>464</v>
      </c>
      <c r="B23" s="27" t="s">
        <v>5</v>
      </c>
      <c r="C23" s="659" t="s">
        <v>81</v>
      </c>
      <c r="D23" s="659"/>
      <c r="E23" s="27">
        <v>51.44</v>
      </c>
      <c r="F23" s="148">
        <v>1826</v>
      </c>
      <c r="G23" s="138">
        <f t="shared" si="19"/>
        <v>93929.44</v>
      </c>
      <c r="H23" s="31" t="s">
        <v>40</v>
      </c>
      <c r="I23" s="146">
        <v>25</v>
      </c>
      <c r="J23" s="29">
        <v>2000</v>
      </c>
      <c r="K23" s="12">
        <f t="shared" si="1"/>
        <v>80</v>
      </c>
      <c r="L23" s="146">
        <v>25</v>
      </c>
      <c r="M23" s="13">
        <f t="shared" si="20"/>
        <v>1922.1052631578934</v>
      </c>
      <c r="N23" s="12">
        <f t="shared" si="3"/>
        <v>76.884210526315741</v>
      </c>
      <c r="O23" s="14">
        <f t="shared" si="4"/>
        <v>0</v>
      </c>
      <c r="P23" s="15">
        <f t="shared" si="5"/>
        <v>-3.1157894736842593</v>
      </c>
      <c r="Q23" s="137">
        <f t="shared" si="6"/>
        <v>0.96105263157894671</v>
      </c>
      <c r="R23" s="616"/>
      <c r="S23" s="32">
        <v>0.34583333333333327</v>
      </c>
      <c r="T23" s="32">
        <v>0.38541666666666663</v>
      </c>
      <c r="U23" s="138">
        <f t="shared" si="22"/>
        <v>6.9999999999999751</v>
      </c>
      <c r="V23" s="147">
        <f t="shared" si="21"/>
        <v>57.000000000000036</v>
      </c>
      <c r="W23" s="16"/>
      <c r="X23" s="138"/>
      <c r="Y23" s="138"/>
      <c r="Z23" s="138"/>
      <c r="AA23" s="612"/>
      <c r="AB23" s="612"/>
      <c r="AC23" s="18"/>
      <c r="AD23" s="18"/>
      <c r="AE23" s="14">
        <f t="shared" si="8"/>
        <v>-77.894736842106568</v>
      </c>
      <c r="AF23" s="137">
        <f t="shared" si="9"/>
        <v>0.96105263157894671</v>
      </c>
      <c r="AG23" s="616"/>
    </row>
    <row r="24" spans="1:33" ht="15.75" customHeight="1">
      <c r="A24" s="635" t="s">
        <v>179</v>
      </c>
      <c r="B24" s="27" t="s">
        <v>5</v>
      </c>
      <c r="C24" s="659" t="s">
        <v>18</v>
      </c>
      <c r="D24" s="659"/>
      <c r="E24" s="27">
        <v>50.49</v>
      </c>
      <c r="F24" s="148">
        <v>1975</v>
      </c>
      <c r="G24" s="138">
        <f t="shared" si="19"/>
        <v>99717.75</v>
      </c>
      <c r="H24" s="31" t="s">
        <v>40</v>
      </c>
      <c r="I24" s="146">
        <v>15</v>
      </c>
      <c r="J24" s="29">
        <v>2000</v>
      </c>
      <c r="K24" s="12">
        <f t="shared" si="1"/>
        <v>133.33333333333334</v>
      </c>
      <c r="L24" s="146">
        <v>15</v>
      </c>
      <c r="M24" s="13">
        <f t="shared" si="20"/>
        <v>1911.2903225806469</v>
      </c>
      <c r="N24" s="12">
        <f t="shared" si="3"/>
        <v>127.41935483870979</v>
      </c>
      <c r="O24" s="14">
        <f t="shared" si="4"/>
        <v>0</v>
      </c>
      <c r="P24" s="15">
        <f t="shared" si="5"/>
        <v>-5.9139784946235494</v>
      </c>
      <c r="Q24" s="137">
        <f t="shared" si="6"/>
        <v>0.9556451612903234</v>
      </c>
      <c r="R24" s="616"/>
      <c r="S24" s="32">
        <v>0.70833333333333337</v>
      </c>
      <c r="T24" s="32">
        <v>0.75138888888888888</v>
      </c>
      <c r="U24" s="138" t="str">
        <f t="shared" si="22"/>
        <v/>
      </c>
      <c r="V24" s="147">
        <f t="shared" si="21"/>
        <v>61.999999999999943</v>
      </c>
      <c r="W24" s="16"/>
      <c r="X24" s="16"/>
      <c r="Y24" s="138"/>
      <c r="Z24" s="138"/>
      <c r="AA24" s="612"/>
      <c r="AB24" s="612"/>
      <c r="AC24" s="18"/>
      <c r="AD24" s="18"/>
      <c r="AE24" s="14">
        <f t="shared" si="8"/>
        <v>-88.709677419353056</v>
      </c>
      <c r="AF24" s="137">
        <f t="shared" si="9"/>
        <v>0.95564516129032351</v>
      </c>
      <c r="AG24" s="616"/>
    </row>
    <row r="25" spans="1:33" ht="15.75" customHeight="1">
      <c r="A25" s="635" t="s">
        <v>464</v>
      </c>
      <c r="B25" s="27" t="s">
        <v>5</v>
      </c>
      <c r="C25" s="659" t="s">
        <v>62</v>
      </c>
      <c r="D25" s="659"/>
      <c r="E25" s="27">
        <v>51.06</v>
      </c>
      <c r="F25" s="148">
        <v>3117</v>
      </c>
      <c r="G25" s="138">
        <f t="shared" si="19"/>
        <v>159154.02000000002</v>
      </c>
      <c r="H25" s="31" t="s">
        <v>40</v>
      </c>
      <c r="I25" s="146">
        <v>13</v>
      </c>
      <c r="J25" s="29">
        <v>2000</v>
      </c>
      <c r="K25" s="12">
        <f t="shared" si="1"/>
        <v>153.84615384615384</v>
      </c>
      <c r="L25" s="146">
        <v>13</v>
      </c>
      <c r="M25" s="13">
        <f t="shared" si="20"/>
        <v>1908.3673469387761</v>
      </c>
      <c r="N25" s="12">
        <f t="shared" si="3"/>
        <v>146.7974882260597</v>
      </c>
      <c r="O25" s="14">
        <f t="shared" si="4"/>
        <v>0</v>
      </c>
      <c r="P25" s="15">
        <f t="shared" si="5"/>
        <v>-7.0486656200941411</v>
      </c>
      <c r="Q25" s="137">
        <f t="shared" si="6"/>
        <v>0.95418367346938804</v>
      </c>
      <c r="R25" s="616"/>
      <c r="S25" s="32">
        <v>0.75624999999999998</v>
      </c>
      <c r="T25" s="32">
        <v>0.82430555555555551</v>
      </c>
      <c r="U25" s="138">
        <f t="shared" si="22"/>
        <v>6.9999999999999751</v>
      </c>
      <c r="V25" s="147">
        <f t="shared" si="21"/>
        <v>97.999999999999972</v>
      </c>
      <c r="W25" s="16"/>
      <c r="X25" s="20"/>
      <c r="Y25" s="20"/>
      <c r="Z25" s="20"/>
      <c r="AA25" s="612"/>
      <c r="AB25" s="612"/>
      <c r="AC25" s="18"/>
      <c r="AD25" s="18"/>
      <c r="AE25" s="14">
        <f t="shared" si="8"/>
        <v>-91.632653061223891</v>
      </c>
      <c r="AF25" s="137">
        <f t="shared" si="9"/>
        <v>0.95418367346938804</v>
      </c>
      <c r="AG25" s="616"/>
    </row>
    <row r="26" spans="1:33" ht="15.75" customHeight="1">
      <c r="A26" s="635" t="s">
        <v>464</v>
      </c>
      <c r="B26" s="27" t="s">
        <v>461</v>
      </c>
      <c r="C26" s="658"/>
      <c r="D26" s="658"/>
      <c r="E26" s="140"/>
      <c r="F26" s="148"/>
      <c r="G26" s="138"/>
      <c r="H26" s="148"/>
      <c r="I26" s="21">
        <v>16.666666666666668</v>
      </c>
      <c r="J26" s="29">
        <v>2000</v>
      </c>
      <c r="K26" s="12">
        <f t="shared" si="1"/>
        <v>119.99999999999999</v>
      </c>
      <c r="L26" s="21">
        <v>16.666666666666668</v>
      </c>
      <c r="M26" s="13">
        <f>AVERAGE(M20:M25)</f>
        <v>1917.4040420119491</v>
      </c>
      <c r="N26" s="12">
        <f t="shared" si="3"/>
        <v>115.04424252071694</v>
      </c>
      <c r="O26" s="14">
        <f t="shared" si="4"/>
        <v>0</v>
      </c>
      <c r="P26" s="15">
        <f t="shared" si="5"/>
        <v>-4.9557574792830508</v>
      </c>
      <c r="Q26" s="137">
        <f t="shared" si="6"/>
        <v>0.95870202100597457</v>
      </c>
      <c r="R26" s="616"/>
      <c r="S26" s="32"/>
      <c r="T26" s="32"/>
      <c r="U26" s="12"/>
      <c r="V26" s="147"/>
      <c r="W26" s="12"/>
      <c r="X26" s="12"/>
      <c r="Y26" s="22">
        <f>SUM(Y20:Y25)</f>
        <v>0</v>
      </c>
      <c r="Z26" s="22">
        <f>SUM(Z20:Z25)</f>
        <v>0</v>
      </c>
      <c r="AA26" s="611"/>
      <c r="AB26" s="611"/>
      <c r="AC26" s="22">
        <v>6</v>
      </c>
      <c r="AD26" s="22">
        <f>SUM(AD20:AD25)</f>
        <v>0</v>
      </c>
      <c r="AE26" s="14">
        <f t="shared" si="8"/>
        <v>-82.595957988050941</v>
      </c>
      <c r="AF26" s="137">
        <f t="shared" si="9"/>
        <v>0.95870202100597457</v>
      </c>
      <c r="AG26" s="616"/>
    </row>
    <row r="27" spans="1:33" ht="15.75" customHeight="1">
      <c r="A27" s="633" t="s">
        <v>465</v>
      </c>
      <c r="B27" s="27" t="s">
        <v>20</v>
      </c>
      <c r="C27" s="659" t="s">
        <v>21</v>
      </c>
      <c r="D27" s="659"/>
      <c r="E27" s="27">
        <v>31.29</v>
      </c>
      <c r="F27" s="148">
        <v>4600</v>
      </c>
      <c r="G27" s="138">
        <f t="shared" ref="G27:G33" si="23">E27*F27</f>
        <v>143934</v>
      </c>
      <c r="H27" s="31">
        <v>2</v>
      </c>
      <c r="I27" s="146">
        <v>18</v>
      </c>
      <c r="J27" s="29">
        <v>2400</v>
      </c>
      <c r="K27" s="12">
        <f t="shared" si="1"/>
        <v>133.33333333333334</v>
      </c>
      <c r="L27" s="146">
        <v>18</v>
      </c>
      <c r="M27" s="13">
        <f t="shared" ref="M27:M33" si="24">F27/V27*60</f>
        <v>2300</v>
      </c>
      <c r="N27" s="12">
        <f t="shared" si="3"/>
        <v>127.77777777777777</v>
      </c>
      <c r="O27" s="14">
        <f t="shared" si="4"/>
        <v>0</v>
      </c>
      <c r="P27" s="15">
        <f t="shared" si="5"/>
        <v>-5.5555555555555713</v>
      </c>
      <c r="Q27" s="137">
        <f t="shared" si="6"/>
        <v>0.95833333333333326</v>
      </c>
      <c r="R27" s="616">
        <f>Q34</f>
        <v>0.95772638770720997</v>
      </c>
      <c r="S27" s="32">
        <v>8.3333333333333329E-2</v>
      </c>
      <c r="T27" s="32">
        <v>0.16666666666666666</v>
      </c>
      <c r="U27" s="138"/>
      <c r="V27" s="147">
        <f t="shared" ref="V27:V33" si="25">(T27-S27)*24*60</f>
        <v>120</v>
      </c>
      <c r="W27" s="16">
        <f>T27</f>
        <v>0.16666666666666666</v>
      </c>
      <c r="X27" s="16">
        <f>S28</f>
        <v>0.18541666666666665</v>
      </c>
      <c r="Y27" s="16"/>
      <c r="Z27" s="16"/>
      <c r="AA27" s="612"/>
      <c r="AB27" s="612"/>
      <c r="AC27" s="18">
        <v>7</v>
      </c>
      <c r="AD27" s="18"/>
      <c r="AE27" s="14">
        <f t="shared" si="8"/>
        <v>-100</v>
      </c>
      <c r="AF27" s="137">
        <f t="shared" si="9"/>
        <v>0.95833333333333337</v>
      </c>
      <c r="AG27" s="616">
        <f>AF34</f>
        <v>0.95772638770720997</v>
      </c>
    </row>
    <row r="28" spans="1:33" ht="15.75" customHeight="1">
      <c r="A28" s="633" t="s">
        <v>465</v>
      </c>
      <c r="B28" s="27" t="s">
        <v>20</v>
      </c>
      <c r="C28" s="659" t="s">
        <v>22</v>
      </c>
      <c r="D28" s="659"/>
      <c r="E28" s="27">
        <v>26.37</v>
      </c>
      <c r="F28" s="148">
        <v>5289</v>
      </c>
      <c r="G28" s="138">
        <f t="shared" si="23"/>
        <v>139470.93</v>
      </c>
      <c r="H28" s="31" t="s">
        <v>40</v>
      </c>
      <c r="I28" s="146">
        <v>18</v>
      </c>
      <c r="J28" s="29">
        <v>2400</v>
      </c>
      <c r="K28" s="12">
        <f t="shared" si="1"/>
        <v>133.33333333333334</v>
      </c>
      <c r="L28" s="146">
        <v>18</v>
      </c>
      <c r="M28" s="13">
        <f t="shared" si="24"/>
        <v>2283.0215827338125</v>
      </c>
      <c r="N28" s="12">
        <f t="shared" si="3"/>
        <v>126.83453237410069</v>
      </c>
      <c r="O28" s="14">
        <f t="shared" si="4"/>
        <v>0</v>
      </c>
      <c r="P28" s="15">
        <f t="shared" si="5"/>
        <v>-6.4988009592326534</v>
      </c>
      <c r="Q28" s="137">
        <f t="shared" si="6"/>
        <v>0.9512589928057551</v>
      </c>
      <c r="R28" s="616"/>
      <c r="S28" s="32">
        <v>0.18541666666666665</v>
      </c>
      <c r="T28" s="32">
        <v>0.28194444444444444</v>
      </c>
      <c r="U28" s="138">
        <f t="shared" ref="U28:U33" si="26">(S28-T27)*24*60</f>
        <v>26.999999999999986</v>
      </c>
      <c r="V28" s="147">
        <f t="shared" si="25"/>
        <v>139.00000000000003</v>
      </c>
      <c r="W28" s="16"/>
      <c r="X28" s="16"/>
      <c r="Y28" s="16"/>
      <c r="Z28" s="16"/>
      <c r="AA28" s="612"/>
      <c r="AB28" s="612"/>
      <c r="AC28" s="18"/>
      <c r="AD28" s="18"/>
      <c r="AE28" s="14">
        <f t="shared" si="8"/>
        <v>-116.97841726618753</v>
      </c>
      <c r="AF28" s="137">
        <f t="shared" si="9"/>
        <v>0.95125899280575521</v>
      </c>
      <c r="AG28" s="616"/>
    </row>
    <row r="29" spans="1:33" ht="15.75" customHeight="1">
      <c r="A29" s="633" t="s">
        <v>465</v>
      </c>
      <c r="B29" s="27" t="s">
        <v>20</v>
      </c>
      <c r="C29" s="659" t="s">
        <v>57</v>
      </c>
      <c r="D29" s="659"/>
      <c r="E29" s="27">
        <v>26.18</v>
      </c>
      <c r="F29" s="148">
        <v>3900</v>
      </c>
      <c r="G29" s="138">
        <f t="shared" si="23"/>
        <v>102102</v>
      </c>
      <c r="H29" s="31">
        <v>2</v>
      </c>
      <c r="I29" s="146">
        <v>18</v>
      </c>
      <c r="J29" s="29">
        <v>2400</v>
      </c>
      <c r="K29" s="12">
        <f t="shared" si="1"/>
        <v>133.33333333333334</v>
      </c>
      <c r="L29" s="146">
        <v>18</v>
      </c>
      <c r="M29" s="13">
        <f t="shared" si="24"/>
        <v>2294.1176470588243</v>
      </c>
      <c r="N29" s="12">
        <f t="shared" si="3"/>
        <v>127.45098039215691</v>
      </c>
      <c r="O29" s="14">
        <f t="shared" si="4"/>
        <v>0</v>
      </c>
      <c r="P29" s="15">
        <f t="shared" si="5"/>
        <v>-5.8823529411764355</v>
      </c>
      <c r="Q29" s="137">
        <f t="shared" si="6"/>
        <v>0.95588235294117674</v>
      </c>
      <c r="R29" s="616"/>
      <c r="S29" s="32">
        <v>0.28680555555555554</v>
      </c>
      <c r="T29" s="32">
        <v>0.35763888888888884</v>
      </c>
      <c r="U29" s="138">
        <f t="shared" si="26"/>
        <v>6.9999999999999751</v>
      </c>
      <c r="V29" s="147">
        <f t="shared" si="25"/>
        <v>101.99999999999996</v>
      </c>
      <c r="W29" s="16"/>
      <c r="X29" s="16"/>
      <c r="Y29" s="16"/>
      <c r="Z29" s="16"/>
      <c r="AA29" s="612"/>
      <c r="AB29" s="612"/>
      <c r="AC29" s="18"/>
      <c r="AD29" s="18"/>
      <c r="AE29" s="14">
        <f t="shared" si="8"/>
        <v>-105.88235294117567</v>
      </c>
      <c r="AF29" s="137">
        <f t="shared" si="9"/>
        <v>0.95588235294117685</v>
      </c>
      <c r="AG29" s="616"/>
    </row>
    <row r="30" spans="1:33" ht="15.75" customHeight="1">
      <c r="A30" s="633" t="s">
        <v>465</v>
      </c>
      <c r="B30" s="27" t="s">
        <v>20</v>
      </c>
      <c r="C30" s="659" t="s">
        <v>64</v>
      </c>
      <c r="D30" s="659"/>
      <c r="E30" s="27">
        <v>20.21</v>
      </c>
      <c r="F30" s="148">
        <v>2509</v>
      </c>
      <c r="G30" s="138">
        <f t="shared" si="23"/>
        <v>50706.89</v>
      </c>
      <c r="H30" s="31" t="s">
        <v>40</v>
      </c>
      <c r="I30" s="146">
        <v>18</v>
      </c>
      <c r="J30" s="29">
        <v>2400</v>
      </c>
      <c r="K30" s="12">
        <f t="shared" si="1"/>
        <v>133.33333333333334</v>
      </c>
      <c r="L30" s="146">
        <v>18</v>
      </c>
      <c r="M30" s="13">
        <f t="shared" si="24"/>
        <v>2315.9999999999995</v>
      </c>
      <c r="N30" s="12">
        <f t="shared" si="3"/>
        <v>128.66666666666663</v>
      </c>
      <c r="O30" s="14">
        <f t="shared" si="4"/>
        <v>0</v>
      </c>
      <c r="P30" s="15">
        <f t="shared" si="5"/>
        <v>-4.666666666666714</v>
      </c>
      <c r="Q30" s="137">
        <f t="shared" si="6"/>
        <v>0.96499999999999964</v>
      </c>
      <c r="R30" s="616"/>
      <c r="S30" s="32">
        <v>0.36319444444444438</v>
      </c>
      <c r="T30" s="32">
        <v>0.40833333333333327</v>
      </c>
      <c r="U30" s="138">
        <f t="shared" si="26"/>
        <v>7.9999999999999716</v>
      </c>
      <c r="V30" s="147">
        <f t="shared" si="25"/>
        <v>65.000000000000014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-84.000000000000455</v>
      </c>
      <c r="AF30" s="137">
        <f t="shared" si="9"/>
        <v>0.96499999999999986</v>
      </c>
      <c r="AG30" s="616"/>
    </row>
    <row r="31" spans="1:33" ht="15.75" customHeight="1">
      <c r="A31" s="633" t="s">
        <v>465</v>
      </c>
      <c r="B31" s="27" t="s">
        <v>20</v>
      </c>
      <c r="C31" s="659" t="s">
        <v>23</v>
      </c>
      <c r="D31" s="659"/>
      <c r="E31" s="27">
        <v>25.99</v>
      </c>
      <c r="F31" s="148">
        <v>3397</v>
      </c>
      <c r="G31" s="138">
        <f t="shared" si="23"/>
        <v>88288.03</v>
      </c>
      <c r="H31" s="31" t="s">
        <v>40</v>
      </c>
      <c r="I31" s="146">
        <v>14</v>
      </c>
      <c r="J31" s="29">
        <v>2400</v>
      </c>
      <c r="K31" s="12">
        <f t="shared" si="1"/>
        <v>171.42857142857142</v>
      </c>
      <c r="L31" s="146">
        <v>14</v>
      </c>
      <c r="M31" s="13">
        <f t="shared" si="24"/>
        <v>2290.1123595505615</v>
      </c>
      <c r="N31" s="12">
        <f t="shared" si="3"/>
        <v>163.57945425361154</v>
      </c>
      <c r="O31" s="14">
        <f t="shared" si="4"/>
        <v>0</v>
      </c>
      <c r="P31" s="15">
        <f t="shared" si="5"/>
        <v>-7.849117174959872</v>
      </c>
      <c r="Q31" s="137">
        <f t="shared" si="6"/>
        <v>0.95421348314606746</v>
      </c>
      <c r="R31" s="616"/>
      <c r="S31" s="32">
        <v>0.41180555555555548</v>
      </c>
      <c r="T31" s="32">
        <v>0.47361111111111104</v>
      </c>
      <c r="U31" s="138">
        <f t="shared" si="26"/>
        <v>4.9999999999999822</v>
      </c>
      <c r="V31" s="147">
        <f t="shared" si="25"/>
        <v>89</v>
      </c>
      <c r="W31" s="16">
        <f>T31</f>
        <v>0.47361111111111104</v>
      </c>
      <c r="X31" s="16">
        <f>S32</f>
        <v>0.51458333333333328</v>
      </c>
      <c r="Y31" s="16"/>
      <c r="Z31" s="16"/>
      <c r="AA31" s="612"/>
      <c r="AB31" s="612"/>
      <c r="AC31" s="18"/>
      <c r="AD31" s="18"/>
      <c r="AE31" s="14">
        <f t="shared" si="8"/>
        <v>-109.88764044943855</v>
      </c>
      <c r="AF31" s="137">
        <f t="shared" si="9"/>
        <v>0.95421348314606724</v>
      </c>
      <c r="AG31" s="616"/>
    </row>
    <row r="32" spans="1:33" ht="15.75" customHeight="1">
      <c r="A32" s="633" t="s">
        <v>180</v>
      </c>
      <c r="B32" s="27" t="s">
        <v>20</v>
      </c>
      <c r="C32" s="659" t="s">
        <v>21</v>
      </c>
      <c r="D32" s="659"/>
      <c r="E32" s="27">
        <v>31.29</v>
      </c>
      <c r="F32" s="148">
        <v>3330</v>
      </c>
      <c r="G32" s="138">
        <f t="shared" si="23"/>
        <v>104195.7</v>
      </c>
      <c r="H32" s="31" t="s">
        <v>40</v>
      </c>
      <c r="I32" s="146">
        <v>18</v>
      </c>
      <c r="J32" s="29">
        <v>2400</v>
      </c>
      <c r="K32" s="12">
        <f t="shared" si="1"/>
        <v>133.33333333333334</v>
      </c>
      <c r="L32" s="146">
        <v>18</v>
      </c>
      <c r="M32" s="13">
        <f t="shared" si="24"/>
        <v>2296.5517241379307</v>
      </c>
      <c r="N32" s="12">
        <f t="shared" si="3"/>
        <v>127.5862068965517</v>
      </c>
      <c r="O32" s="14">
        <f t="shared" si="4"/>
        <v>0</v>
      </c>
      <c r="P32" s="15">
        <f t="shared" si="5"/>
        <v>-5.7471264367816417</v>
      </c>
      <c r="Q32" s="137">
        <f t="shared" si="6"/>
        <v>0.95689655172413768</v>
      </c>
      <c r="R32" s="616"/>
      <c r="S32" s="32">
        <v>0.51458333333333328</v>
      </c>
      <c r="T32" s="32">
        <v>0.57499999999999996</v>
      </c>
      <c r="U32" s="138">
        <f t="shared" si="26"/>
        <v>59.000000000000028</v>
      </c>
      <c r="V32" s="147">
        <f t="shared" si="25"/>
        <v>87.000000000000014</v>
      </c>
      <c r="W32" s="16"/>
      <c r="X32" s="16"/>
      <c r="Y32" s="16"/>
      <c r="Z32" s="16"/>
      <c r="AA32" s="612"/>
      <c r="AB32" s="612"/>
      <c r="AC32" s="18"/>
      <c r="AD32" s="18"/>
      <c r="AE32" s="14">
        <f t="shared" si="8"/>
        <v>-103.44827586206929</v>
      </c>
      <c r="AF32" s="137">
        <f t="shared" si="9"/>
        <v>0.95689655172413779</v>
      </c>
      <c r="AG32" s="616"/>
    </row>
    <row r="33" spans="1:33" ht="15.75" customHeight="1">
      <c r="A33" s="633" t="s">
        <v>180</v>
      </c>
      <c r="B33" s="27" t="s">
        <v>20</v>
      </c>
      <c r="C33" s="659" t="s">
        <v>57</v>
      </c>
      <c r="D33" s="659"/>
      <c r="E33" s="27">
        <v>26.18</v>
      </c>
      <c r="F33" s="148">
        <v>3003</v>
      </c>
      <c r="G33" s="138">
        <f t="shared" si="23"/>
        <v>78618.539999999994</v>
      </c>
      <c r="H33" s="31" t="s">
        <v>40</v>
      </c>
      <c r="I33" s="146">
        <v>18</v>
      </c>
      <c r="J33" s="29">
        <v>2400</v>
      </c>
      <c r="K33" s="12">
        <f t="shared" si="1"/>
        <v>133.33333333333334</v>
      </c>
      <c r="L33" s="146">
        <v>18</v>
      </c>
      <c r="M33" s="13">
        <f t="shared" si="24"/>
        <v>2309.9999999999986</v>
      </c>
      <c r="N33" s="12">
        <f t="shared" si="3"/>
        <v>128.33333333333326</v>
      </c>
      <c r="O33" s="14">
        <f t="shared" si="4"/>
        <v>0</v>
      </c>
      <c r="P33" s="15">
        <f t="shared" si="5"/>
        <v>-5.0000000000000853</v>
      </c>
      <c r="Q33" s="137">
        <f t="shared" si="6"/>
        <v>0.96249999999999936</v>
      </c>
      <c r="R33" s="616"/>
      <c r="S33" s="32">
        <v>0.58055555555555549</v>
      </c>
      <c r="T33" s="32">
        <v>0.63472222222222219</v>
      </c>
      <c r="U33" s="138">
        <f t="shared" si="26"/>
        <v>7.9999999999999716</v>
      </c>
      <c r="V33" s="147">
        <f t="shared" si="25"/>
        <v>78.000000000000043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-90.000000000001364</v>
      </c>
      <c r="AF33" s="137">
        <f t="shared" si="9"/>
        <v>0.96249999999999947</v>
      </c>
      <c r="AG33" s="616"/>
    </row>
    <row r="34" spans="1:33" ht="15.75" customHeight="1">
      <c r="A34" s="633" t="s">
        <v>180</v>
      </c>
      <c r="B34" s="27" t="s">
        <v>461</v>
      </c>
      <c r="C34" s="658"/>
      <c r="D34" s="658"/>
      <c r="E34" s="140"/>
      <c r="F34" s="148"/>
      <c r="G34" s="138"/>
      <c r="H34" s="148"/>
      <c r="I34" s="21">
        <v>17.428571428571427</v>
      </c>
      <c r="J34" s="29">
        <v>2400</v>
      </c>
      <c r="K34" s="12">
        <f t="shared" si="1"/>
        <v>137.70491803278691</v>
      </c>
      <c r="L34" s="21">
        <v>17.428571428571427</v>
      </c>
      <c r="M34" s="13">
        <f>AVERAGE(M27:M33)</f>
        <v>2298.5433304973039</v>
      </c>
      <c r="N34" s="12">
        <f t="shared" si="3"/>
        <v>131.88363371705844</v>
      </c>
      <c r="O34" s="14">
        <f t="shared" si="4"/>
        <v>0</v>
      </c>
      <c r="P34" s="15">
        <f t="shared" si="5"/>
        <v>-5.8212843157284624</v>
      </c>
      <c r="Q34" s="137">
        <f t="shared" si="6"/>
        <v>0.95772638770720997</v>
      </c>
      <c r="R34" s="616"/>
      <c r="S34" s="32"/>
      <c r="T34" s="32"/>
      <c r="U34" s="138"/>
      <c r="V34" s="147"/>
      <c r="W34" s="138"/>
      <c r="X34" s="138"/>
      <c r="Y34" s="22">
        <f>SUM(Y27:Y33)</f>
        <v>0</v>
      </c>
      <c r="Z34" s="22">
        <f>SUM(Z27:Z33)</f>
        <v>0</v>
      </c>
      <c r="AA34" s="611"/>
      <c r="AB34" s="611"/>
      <c r="AC34" s="22">
        <v>7</v>
      </c>
      <c r="AD34" s="22">
        <f>SUM(AD27:AD33)</f>
        <v>0</v>
      </c>
      <c r="AE34" s="14">
        <f t="shared" si="8"/>
        <v>-101.45666950269606</v>
      </c>
      <c r="AF34" s="137">
        <f t="shared" si="9"/>
        <v>0.95772638770720997</v>
      </c>
      <c r="AG34" s="616"/>
    </row>
    <row r="35" spans="1:33" ht="15.75" customHeight="1">
      <c r="A35" s="629" t="s">
        <v>181</v>
      </c>
      <c r="B35" s="27" t="s">
        <v>20</v>
      </c>
      <c r="C35" s="660" t="s">
        <v>58</v>
      </c>
      <c r="D35" s="660"/>
      <c r="E35" s="27">
        <v>26.18</v>
      </c>
      <c r="F35" s="148">
        <v>5164</v>
      </c>
      <c r="G35" s="138">
        <f t="shared" ref="G35:G41" si="27">E35*F35</f>
        <v>135193.51999999999</v>
      </c>
      <c r="H35" s="31" t="s">
        <v>40</v>
      </c>
      <c r="I35" s="146">
        <v>20</v>
      </c>
      <c r="J35" s="29">
        <v>2400</v>
      </c>
      <c r="K35" s="12">
        <f t="shared" si="1"/>
        <v>120</v>
      </c>
      <c r="L35" s="146">
        <v>20</v>
      </c>
      <c r="M35" s="13">
        <f t="shared" ref="M35:M41" si="28">F35/V35*60</f>
        <v>2295.1111111111118</v>
      </c>
      <c r="N35" s="12">
        <f t="shared" si="3"/>
        <v>114.75555555555559</v>
      </c>
      <c r="O35" s="14">
        <f t="shared" si="4"/>
        <v>0</v>
      </c>
      <c r="P35" s="15">
        <f t="shared" si="5"/>
        <v>-5.2444444444444116</v>
      </c>
      <c r="Q35" s="137">
        <f t="shared" si="6"/>
        <v>0.95629629629629653</v>
      </c>
      <c r="R35" s="616">
        <f>Q42</f>
        <v>0.95622950506892046</v>
      </c>
      <c r="S35" s="32">
        <v>8.3333333333333329E-2</v>
      </c>
      <c r="T35" s="32">
        <v>0.17708333333333331</v>
      </c>
      <c r="U35" s="138"/>
      <c r="V35" s="147">
        <f t="shared" ref="V35:V41" si="29">(T35-S35)*24*60</f>
        <v>134.99999999999997</v>
      </c>
      <c r="W35" s="20">
        <f>T35</f>
        <v>0.17708333333333331</v>
      </c>
      <c r="X35" s="20">
        <f>S36</f>
        <v>0.19791666666666666</v>
      </c>
      <c r="Y35" s="20"/>
      <c r="Z35" s="20"/>
      <c r="AA35" s="612"/>
      <c r="AB35" s="612"/>
      <c r="AC35" s="18">
        <v>7</v>
      </c>
      <c r="AD35" s="18"/>
      <c r="AE35" s="14">
        <f t="shared" si="8"/>
        <v>-104.88888888888823</v>
      </c>
      <c r="AF35" s="137">
        <f t="shared" si="9"/>
        <v>0.95629629629629653</v>
      </c>
      <c r="AG35" s="616">
        <f>AF42</f>
        <v>0.95622950506892035</v>
      </c>
    </row>
    <row r="36" spans="1:33" ht="15.75" customHeight="1">
      <c r="A36" s="629" t="s">
        <v>466</v>
      </c>
      <c r="B36" s="27" t="s">
        <v>20</v>
      </c>
      <c r="C36" s="660" t="s">
        <v>25</v>
      </c>
      <c r="D36" s="660"/>
      <c r="E36" s="27">
        <v>24.43</v>
      </c>
      <c r="F36" s="148">
        <v>3300</v>
      </c>
      <c r="G36" s="138">
        <f t="shared" si="27"/>
        <v>80619</v>
      </c>
      <c r="H36" s="31">
        <v>2</v>
      </c>
      <c r="I36" s="146">
        <v>14</v>
      </c>
      <c r="J36" s="29">
        <v>2400</v>
      </c>
      <c r="K36" s="12">
        <f t="shared" si="1"/>
        <v>171.42857142857142</v>
      </c>
      <c r="L36" s="146">
        <v>14</v>
      </c>
      <c r="M36" s="13">
        <f t="shared" si="28"/>
        <v>2302.3255813953497</v>
      </c>
      <c r="N36" s="12">
        <f t="shared" si="3"/>
        <v>164.45182724252498</v>
      </c>
      <c r="O36" s="14">
        <f t="shared" si="4"/>
        <v>0</v>
      </c>
      <c r="P36" s="15">
        <f t="shared" si="5"/>
        <v>-6.9767441860464317</v>
      </c>
      <c r="Q36" s="137">
        <f t="shared" si="6"/>
        <v>0.95930232558139583</v>
      </c>
      <c r="R36" s="616"/>
      <c r="S36" s="32">
        <v>0.19791666666666666</v>
      </c>
      <c r="T36" s="32">
        <v>0.25763888888888886</v>
      </c>
      <c r="U36" s="138">
        <f t="shared" ref="U36:U41" si="30">(S36-T35)*24*60</f>
        <v>30.000000000000014</v>
      </c>
      <c r="V36" s="147">
        <f t="shared" si="29"/>
        <v>85.999999999999972</v>
      </c>
      <c r="W36" s="138"/>
      <c r="X36" s="138"/>
      <c r="Y36" s="138"/>
      <c r="Z36" s="138"/>
      <c r="AA36" s="612"/>
      <c r="AB36" s="612"/>
      <c r="AC36" s="18"/>
      <c r="AD36" s="18"/>
      <c r="AE36" s="14">
        <f t="shared" si="8"/>
        <v>-97.674418604650327</v>
      </c>
      <c r="AF36" s="137">
        <f t="shared" si="9"/>
        <v>0.95930232558139572</v>
      </c>
      <c r="AG36" s="616"/>
    </row>
    <row r="37" spans="1:33">
      <c r="A37" s="630" t="s">
        <v>181</v>
      </c>
      <c r="B37" s="27" t="s">
        <v>20</v>
      </c>
      <c r="C37" s="660" t="s">
        <v>83</v>
      </c>
      <c r="D37" s="660"/>
      <c r="E37" s="27">
        <v>25.98</v>
      </c>
      <c r="F37" s="148">
        <v>4481</v>
      </c>
      <c r="G37" s="138">
        <f t="shared" si="27"/>
        <v>116416.38</v>
      </c>
      <c r="H37" s="31" t="s">
        <v>40</v>
      </c>
      <c r="I37" s="146">
        <v>20</v>
      </c>
      <c r="J37" s="29">
        <v>2400</v>
      </c>
      <c r="K37" s="12">
        <f t="shared" si="1"/>
        <v>120</v>
      </c>
      <c r="L37" s="146">
        <v>20</v>
      </c>
      <c r="M37" s="13">
        <f t="shared" si="28"/>
        <v>2297.9487179487182</v>
      </c>
      <c r="N37" s="12">
        <f t="shared" si="3"/>
        <v>114.89743589743591</v>
      </c>
      <c r="O37" s="14">
        <f t="shared" si="4"/>
        <v>0</v>
      </c>
      <c r="P37" s="15">
        <f t="shared" si="5"/>
        <v>-5.102564102564088</v>
      </c>
      <c r="Q37" s="137">
        <f t="shared" si="6"/>
        <v>0.95747863247863263</v>
      </c>
      <c r="R37" s="616"/>
      <c r="S37" s="32">
        <v>0.26111111111111107</v>
      </c>
      <c r="T37" s="32">
        <v>0.34236111111111106</v>
      </c>
      <c r="U37" s="138">
        <f t="shared" si="30"/>
        <v>4.9999999999999822</v>
      </c>
      <c r="V37" s="147">
        <f t="shared" si="29"/>
        <v>116.99999999999999</v>
      </c>
      <c r="W37" s="138"/>
      <c r="X37" s="138"/>
      <c r="Y37" s="138"/>
      <c r="Z37" s="138"/>
      <c r="AA37" s="612"/>
      <c r="AB37" s="612"/>
      <c r="AC37" s="18"/>
      <c r="AD37" s="18"/>
      <c r="AE37" s="14">
        <f t="shared" si="8"/>
        <v>-102.05128205128176</v>
      </c>
      <c r="AF37" s="137">
        <f t="shared" si="9"/>
        <v>0.95747863247863263</v>
      </c>
      <c r="AG37" s="616"/>
    </row>
    <row r="38" spans="1:33">
      <c r="A38" s="630" t="s">
        <v>466</v>
      </c>
      <c r="B38" s="27" t="s">
        <v>20</v>
      </c>
      <c r="C38" s="660" t="s">
        <v>26</v>
      </c>
      <c r="D38" s="660"/>
      <c r="E38" s="27">
        <v>34.1</v>
      </c>
      <c r="F38" s="148">
        <v>3100</v>
      </c>
      <c r="G38" s="138">
        <f t="shared" si="27"/>
        <v>105710</v>
      </c>
      <c r="H38" s="31">
        <v>2</v>
      </c>
      <c r="I38" s="146">
        <v>17</v>
      </c>
      <c r="J38" s="29">
        <v>1600</v>
      </c>
      <c r="K38" s="12">
        <f t="shared" si="1"/>
        <v>94.117647058823536</v>
      </c>
      <c r="L38" s="146">
        <v>17</v>
      </c>
      <c r="M38" s="13">
        <f t="shared" si="28"/>
        <v>1524.5901639344268</v>
      </c>
      <c r="N38" s="12">
        <f t="shared" si="3"/>
        <v>89.681774349083923</v>
      </c>
      <c r="O38" s="14">
        <f t="shared" si="4"/>
        <v>0</v>
      </c>
      <c r="P38" s="15">
        <f t="shared" si="5"/>
        <v>-4.4358727097396127</v>
      </c>
      <c r="Q38" s="137">
        <f t="shared" si="6"/>
        <v>0.95286885245901665</v>
      </c>
      <c r="R38" s="616"/>
      <c r="S38" s="32">
        <v>0.34583333333333327</v>
      </c>
      <c r="T38" s="32">
        <v>0.43055555555555547</v>
      </c>
      <c r="U38" s="138">
        <f t="shared" si="30"/>
        <v>4.9999999999999822</v>
      </c>
      <c r="V38" s="147">
        <f t="shared" si="29"/>
        <v>121.99999999999997</v>
      </c>
      <c r="W38" s="16"/>
      <c r="X38" s="16"/>
      <c r="Y38" s="16"/>
      <c r="Z38" s="16"/>
      <c r="AA38" s="612"/>
      <c r="AB38" s="612"/>
      <c r="AC38" s="18"/>
      <c r="AD38" s="18"/>
      <c r="AE38" s="14">
        <f t="shared" si="8"/>
        <v>-75.409836065573245</v>
      </c>
      <c r="AF38" s="137">
        <f t="shared" si="9"/>
        <v>0.95286885245901676</v>
      </c>
      <c r="AG38" s="616"/>
    </row>
    <row r="39" spans="1:33">
      <c r="A39" s="630" t="s">
        <v>181</v>
      </c>
      <c r="B39" s="27" t="s">
        <v>20</v>
      </c>
      <c r="C39" s="660" t="s">
        <v>37</v>
      </c>
      <c r="D39" s="660"/>
      <c r="E39" s="27">
        <v>20.21</v>
      </c>
      <c r="F39" s="148">
        <v>2487</v>
      </c>
      <c r="G39" s="138">
        <f t="shared" si="27"/>
        <v>50262.270000000004</v>
      </c>
      <c r="H39" s="31" t="s">
        <v>40</v>
      </c>
      <c r="I39" s="146">
        <v>15</v>
      </c>
      <c r="J39" s="29">
        <v>2400</v>
      </c>
      <c r="K39" s="12">
        <f t="shared" si="1"/>
        <v>160</v>
      </c>
      <c r="L39" s="146">
        <v>15</v>
      </c>
      <c r="M39" s="13">
        <f t="shared" si="28"/>
        <v>2295.6923076923072</v>
      </c>
      <c r="N39" s="12">
        <f t="shared" si="3"/>
        <v>153.0461538461538</v>
      </c>
      <c r="O39" s="14">
        <f t="shared" si="4"/>
        <v>0</v>
      </c>
      <c r="P39" s="15">
        <f t="shared" si="5"/>
        <v>-6.9538461538462002</v>
      </c>
      <c r="Q39" s="137">
        <f t="shared" si="6"/>
        <v>0.95653846153846123</v>
      </c>
      <c r="R39" s="616"/>
      <c r="S39" s="32">
        <v>0.43611111111111101</v>
      </c>
      <c r="T39" s="32">
        <v>0.4812499999999999</v>
      </c>
      <c r="U39" s="138">
        <f t="shared" si="30"/>
        <v>7.9999999999999716</v>
      </c>
      <c r="V39" s="147">
        <f t="shared" si="29"/>
        <v>65.000000000000014</v>
      </c>
      <c r="W39" s="16">
        <f>T39</f>
        <v>0.4812499999999999</v>
      </c>
      <c r="X39" s="16">
        <f>S40</f>
        <v>0.52152777777777759</v>
      </c>
      <c r="Y39" s="16"/>
      <c r="Z39" s="16"/>
      <c r="AA39" s="612"/>
      <c r="AB39" s="612"/>
      <c r="AC39" s="18"/>
      <c r="AD39" s="18"/>
      <c r="AE39" s="14">
        <f t="shared" si="8"/>
        <v>-104.30769230769283</v>
      </c>
      <c r="AF39" s="137">
        <f t="shared" si="9"/>
        <v>0.95653846153846134</v>
      </c>
      <c r="AG39" s="616"/>
    </row>
    <row r="40" spans="1:33">
      <c r="A40" s="630" t="s">
        <v>181</v>
      </c>
      <c r="B40" s="27" t="s">
        <v>20</v>
      </c>
      <c r="C40" s="660" t="s">
        <v>25</v>
      </c>
      <c r="D40" s="660"/>
      <c r="E40" s="27">
        <v>24.43</v>
      </c>
      <c r="F40" s="148">
        <v>2640</v>
      </c>
      <c r="G40" s="138">
        <f t="shared" si="27"/>
        <v>64495.199999999997</v>
      </c>
      <c r="H40" s="31" t="s">
        <v>40</v>
      </c>
      <c r="I40" s="146">
        <v>14</v>
      </c>
      <c r="J40" s="29">
        <v>2400</v>
      </c>
      <c r="K40" s="12">
        <f t="shared" si="1"/>
        <v>171.42857142857142</v>
      </c>
      <c r="L40" s="146">
        <v>14</v>
      </c>
      <c r="M40" s="13">
        <f t="shared" si="28"/>
        <v>2295.6521739130462</v>
      </c>
      <c r="N40" s="12">
        <f t="shared" si="3"/>
        <v>163.9751552795033</v>
      </c>
      <c r="O40" s="14">
        <f t="shared" si="4"/>
        <v>0</v>
      </c>
      <c r="P40" s="15">
        <f t="shared" si="5"/>
        <v>-7.4534161490681186</v>
      </c>
      <c r="Q40" s="137">
        <f t="shared" si="6"/>
        <v>0.95652173913043592</v>
      </c>
      <c r="R40" s="616"/>
      <c r="S40" s="32">
        <v>0.52152777777777759</v>
      </c>
      <c r="T40" s="32">
        <v>0.5694444444444442</v>
      </c>
      <c r="U40" s="138">
        <f t="shared" si="30"/>
        <v>57.999999999999872</v>
      </c>
      <c r="V40" s="147">
        <f t="shared" si="29"/>
        <v>68.999999999999915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-104.34782608695377</v>
      </c>
      <c r="AF40" s="137">
        <f t="shared" si="9"/>
        <v>0.95652173913043592</v>
      </c>
      <c r="AG40" s="616"/>
    </row>
    <row r="41" spans="1:33">
      <c r="A41" s="630" t="s">
        <v>181</v>
      </c>
      <c r="B41" s="27" t="s">
        <v>20</v>
      </c>
      <c r="C41" s="660" t="s">
        <v>26</v>
      </c>
      <c r="D41" s="660"/>
      <c r="E41" s="27">
        <v>34.1</v>
      </c>
      <c r="F41" s="148">
        <v>2412</v>
      </c>
      <c r="G41" s="138">
        <f t="shared" si="27"/>
        <v>82249.2</v>
      </c>
      <c r="H41" s="31" t="s">
        <v>40</v>
      </c>
      <c r="I41" s="146">
        <v>17</v>
      </c>
      <c r="J41" s="29">
        <v>1600</v>
      </c>
      <c r="K41" s="12">
        <f t="shared" si="1"/>
        <v>94.117647058823536</v>
      </c>
      <c r="L41" s="146">
        <v>17</v>
      </c>
      <c r="M41" s="13">
        <f t="shared" si="28"/>
        <v>1523.3684210526317</v>
      </c>
      <c r="N41" s="12">
        <f t="shared" si="3"/>
        <v>89.609907120743046</v>
      </c>
      <c r="O41" s="14">
        <f t="shared" si="4"/>
        <v>0</v>
      </c>
      <c r="P41" s="15">
        <f t="shared" si="5"/>
        <v>-4.5077399380804906</v>
      </c>
      <c r="Q41" s="137">
        <f t="shared" si="6"/>
        <v>0.95210526315789479</v>
      </c>
      <c r="R41" s="616"/>
      <c r="S41" s="32">
        <v>0.57361111111111085</v>
      </c>
      <c r="T41" s="32">
        <v>0.63958333333333306</v>
      </c>
      <c r="U41" s="138">
        <f t="shared" si="30"/>
        <v>5.9999999999999787</v>
      </c>
      <c r="V41" s="147">
        <f t="shared" si="29"/>
        <v>94.999999999999986</v>
      </c>
      <c r="W41" s="16"/>
      <c r="X41" s="16"/>
      <c r="Y41" s="19"/>
      <c r="Z41" s="19"/>
      <c r="AA41" s="607"/>
      <c r="AB41" s="608"/>
      <c r="AC41" s="18"/>
      <c r="AD41" s="18"/>
      <c r="AE41" s="14">
        <f t="shared" si="8"/>
        <v>-76.631578947368325</v>
      </c>
      <c r="AF41" s="137">
        <f t="shared" si="9"/>
        <v>0.95210526315789479</v>
      </c>
      <c r="AG41" s="616"/>
    </row>
    <row r="42" spans="1:33">
      <c r="A42" s="630" t="s">
        <v>467</v>
      </c>
      <c r="B42" s="28" t="s">
        <v>70</v>
      </c>
      <c r="C42" s="658"/>
      <c r="D42" s="658"/>
      <c r="E42" s="140"/>
      <c r="F42" s="28"/>
      <c r="G42" s="12"/>
      <c r="H42" s="148"/>
      <c r="I42" s="21">
        <v>16.714285714285715</v>
      </c>
      <c r="J42" s="29">
        <v>2171.4285714285716</v>
      </c>
      <c r="K42" s="12">
        <f t="shared" si="1"/>
        <v>129.91452991452991</v>
      </c>
      <c r="L42" s="21">
        <v>16.714285714285715</v>
      </c>
      <c r="M42" s="13">
        <f>AVERAGE(M35:M41)</f>
        <v>2076.3840681496558</v>
      </c>
      <c r="N42" s="12">
        <f t="shared" si="3"/>
        <v>124.22810664143239</v>
      </c>
      <c r="O42" s="14">
        <f t="shared" si="4"/>
        <v>0</v>
      </c>
      <c r="P42" s="15">
        <f t="shared" si="5"/>
        <v>-5.6864232730975175</v>
      </c>
      <c r="Q42" s="137">
        <f t="shared" si="6"/>
        <v>0.95622950506892046</v>
      </c>
      <c r="R42" s="616"/>
      <c r="S42" s="32"/>
      <c r="T42" s="32"/>
      <c r="U42" s="12"/>
      <c r="V42" s="147"/>
      <c r="W42" s="12"/>
      <c r="X42" s="12"/>
      <c r="Y42" s="22">
        <f>SUM(Y35:Y41)</f>
        <v>0</v>
      </c>
      <c r="Z42" s="22">
        <f>SUM(Z35:Z41)</f>
        <v>0</v>
      </c>
      <c r="AA42" s="611"/>
      <c r="AB42" s="611"/>
      <c r="AC42" s="22">
        <v>7</v>
      </c>
      <c r="AD42" s="22">
        <f>SUM(AD35:AD41)</f>
        <v>0</v>
      </c>
      <c r="AE42" s="14">
        <f t="shared" si="8"/>
        <v>-95.044503278915727</v>
      </c>
      <c r="AF42" s="137">
        <f t="shared" si="9"/>
        <v>0.95622950506892035</v>
      </c>
      <c r="AG42" s="616"/>
    </row>
    <row r="43" spans="1:33" ht="15.75" customHeight="1">
      <c r="A43" s="623" t="s">
        <v>75</v>
      </c>
      <c r="B43" s="27" t="s">
        <v>27</v>
      </c>
      <c r="C43" s="605" t="s">
        <v>33</v>
      </c>
      <c r="D43" s="606"/>
      <c r="E43" s="27">
        <v>34.36</v>
      </c>
      <c r="F43" s="148">
        <v>2053</v>
      </c>
      <c r="G43" s="138">
        <f t="shared" ref="G43:G45" si="31">E43*F43</f>
        <v>70541.08</v>
      </c>
      <c r="H43" s="31" t="s">
        <v>40</v>
      </c>
      <c r="I43" s="146">
        <v>10</v>
      </c>
      <c r="J43" s="29">
        <v>3000</v>
      </c>
      <c r="K43" s="12">
        <f t="shared" si="1"/>
        <v>300</v>
      </c>
      <c r="L43" s="146">
        <v>10</v>
      </c>
      <c r="M43" s="13">
        <f t="shared" ref="M43:M45" si="32">F43/V43*60</f>
        <v>2864.6511627906975</v>
      </c>
      <c r="N43" s="13">
        <f t="shared" si="3"/>
        <v>286.46511627906978</v>
      </c>
      <c r="O43" s="14">
        <f t="shared" si="4"/>
        <v>0</v>
      </c>
      <c r="P43" s="15">
        <f t="shared" si="5"/>
        <v>-13.534883720930225</v>
      </c>
      <c r="Q43" s="137">
        <f t="shared" si="6"/>
        <v>0.95488372093023255</v>
      </c>
      <c r="R43" s="626">
        <f>Q46</f>
        <v>0.9558647875696894</v>
      </c>
      <c r="S43" s="32">
        <v>0.20833333333333334</v>
      </c>
      <c r="T43" s="32">
        <v>0.23819444444444446</v>
      </c>
      <c r="U43" s="20"/>
      <c r="V43" s="147">
        <f t="shared" ref="V43:V45" si="33">(T43-S43)*24*60</f>
        <v>43.000000000000007</v>
      </c>
      <c r="W43" s="16"/>
      <c r="X43" s="16"/>
      <c r="Y43" s="19"/>
      <c r="Z43" s="19"/>
      <c r="AA43" s="607"/>
      <c r="AB43" s="608"/>
      <c r="AC43" s="18">
        <v>3</v>
      </c>
      <c r="AD43" s="18"/>
      <c r="AE43" s="14">
        <f t="shared" si="8"/>
        <v>-135.34883720930247</v>
      </c>
      <c r="AF43" s="137">
        <f t="shared" si="9"/>
        <v>0.95488372093023255</v>
      </c>
      <c r="AG43" s="626">
        <f>AF46</f>
        <v>0.95586478756968929</v>
      </c>
    </row>
    <row r="44" spans="1:33" ht="15.75" customHeight="1">
      <c r="A44" s="624" t="s">
        <v>75</v>
      </c>
      <c r="B44" s="27" t="s">
        <v>27</v>
      </c>
      <c r="C44" s="605" t="s">
        <v>29</v>
      </c>
      <c r="D44" s="606"/>
      <c r="E44" s="27">
        <v>21.13</v>
      </c>
      <c r="F44" s="148">
        <v>5417</v>
      </c>
      <c r="G44" s="138">
        <f t="shared" si="31"/>
        <v>114461.20999999999</v>
      </c>
      <c r="H44" s="31" t="s">
        <v>40</v>
      </c>
      <c r="I44" s="146">
        <v>10</v>
      </c>
      <c r="J44" s="29">
        <v>3000</v>
      </c>
      <c r="K44" s="12">
        <f t="shared" si="1"/>
        <v>300</v>
      </c>
      <c r="L44" s="146">
        <v>10</v>
      </c>
      <c r="M44" s="13">
        <f t="shared" si="32"/>
        <v>2876.283185840708</v>
      </c>
      <c r="N44" s="13">
        <f t="shared" si="3"/>
        <v>287.62831858407083</v>
      </c>
      <c r="O44" s="14">
        <f t="shared" si="4"/>
        <v>0</v>
      </c>
      <c r="P44" s="15">
        <f t="shared" si="5"/>
        <v>-12.371681415929174</v>
      </c>
      <c r="Q44" s="137">
        <f t="shared" si="6"/>
        <v>0.9587610619469028</v>
      </c>
      <c r="R44" s="627"/>
      <c r="S44" s="32">
        <v>0.24305555555555558</v>
      </c>
      <c r="T44" s="32">
        <v>0.3215277777777778</v>
      </c>
      <c r="U44" s="138">
        <f t="shared" ref="U44:U45" si="34">(S44-T43)*24*60</f>
        <v>7.0000000000000151</v>
      </c>
      <c r="V44" s="147">
        <f t="shared" si="33"/>
        <v>113</v>
      </c>
      <c r="W44" s="16"/>
      <c r="X44" s="16"/>
      <c r="Y44" s="19"/>
      <c r="Z44" s="19"/>
      <c r="AA44" s="607"/>
      <c r="AB44" s="608"/>
      <c r="AC44" s="18"/>
      <c r="AD44" s="18"/>
      <c r="AE44" s="14">
        <f t="shared" si="8"/>
        <v>-123.71681415929197</v>
      </c>
      <c r="AF44" s="137">
        <f t="shared" si="9"/>
        <v>0.95876106194690269</v>
      </c>
      <c r="AG44" s="627"/>
    </row>
    <row r="45" spans="1:33" ht="15.75" customHeight="1">
      <c r="A45" s="624" t="s">
        <v>75</v>
      </c>
      <c r="B45" s="27" t="s">
        <v>27</v>
      </c>
      <c r="C45" s="605" t="s">
        <v>30</v>
      </c>
      <c r="D45" s="606"/>
      <c r="E45" s="27">
        <v>27.17</v>
      </c>
      <c r="F45" s="148">
        <v>5676</v>
      </c>
      <c r="G45" s="138">
        <f t="shared" si="31"/>
        <v>154216.92000000001</v>
      </c>
      <c r="H45" s="31" t="s">
        <v>40</v>
      </c>
      <c r="I45" s="146">
        <v>10</v>
      </c>
      <c r="J45" s="29">
        <v>3000</v>
      </c>
      <c r="K45" s="12">
        <f t="shared" si="1"/>
        <v>300</v>
      </c>
      <c r="L45" s="146">
        <v>10</v>
      </c>
      <c r="M45" s="13">
        <f t="shared" si="32"/>
        <v>2861.8487394957988</v>
      </c>
      <c r="N45" s="13">
        <f t="shared" si="3"/>
        <v>286.18487394957987</v>
      </c>
      <c r="O45" s="14">
        <f t="shared" si="4"/>
        <v>0</v>
      </c>
      <c r="P45" s="15">
        <f t="shared" si="5"/>
        <v>-13.815126050420133</v>
      </c>
      <c r="Q45" s="137">
        <f t="shared" si="6"/>
        <v>0.95394957983193285</v>
      </c>
      <c r="R45" s="627"/>
      <c r="S45" s="32">
        <v>0.32500000000000001</v>
      </c>
      <c r="T45" s="32">
        <v>0.40763888888888888</v>
      </c>
      <c r="U45" s="138">
        <f t="shared" si="34"/>
        <v>4.9999999999999822</v>
      </c>
      <c r="V45" s="147">
        <f t="shared" si="33"/>
        <v>118.99999999999997</v>
      </c>
      <c r="W45" s="16"/>
      <c r="X45" s="16"/>
      <c r="Y45" s="19"/>
      <c r="Z45" s="19"/>
      <c r="AA45" s="607"/>
      <c r="AB45" s="608"/>
      <c r="AC45" s="18"/>
      <c r="AD45" s="18"/>
      <c r="AE45" s="14">
        <f t="shared" si="8"/>
        <v>-138.15126050420122</v>
      </c>
      <c r="AF45" s="137">
        <f t="shared" si="9"/>
        <v>0.95394957983193296</v>
      </c>
      <c r="AG45" s="627"/>
    </row>
    <row r="46" spans="1:33" ht="15.75" customHeight="1">
      <c r="A46" s="625" t="s">
        <v>75</v>
      </c>
      <c r="B46" s="27" t="s">
        <v>70</v>
      </c>
      <c r="C46" s="609"/>
      <c r="D46" s="610"/>
      <c r="E46" s="139"/>
      <c r="F46" s="148"/>
      <c r="G46" s="138"/>
      <c r="H46" s="148"/>
      <c r="I46" s="21">
        <v>10</v>
      </c>
      <c r="J46" s="29">
        <v>3000</v>
      </c>
      <c r="K46" s="12">
        <f t="shared" si="1"/>
        <v>300</v>
      </c>
      <c r="L46" s="21">
        <v>10</v>
      </c>
      <c r="M46" s="13">
        <f>AVERAGE(M43:M45)</f>
        <v>2867.5943627090678</v>
      </c>
      <c r="N46" s="12">
        <f t="shared" si="3"/>
        <v>286.7594362709068</v>
      </c>
      <c r="O46" s="14">
        <f t="shared" si="4"/>
        <v>0</v>
      </c>
      <c r="P46" s="15">
        <f t="shared" si="5"/>
        <v>-13.240563729093196</v>
      </c>
      <c r="Q46" s="137">
        <f t="shared" si="6"/>
        <v>0.9558647875696894</v>
      </c>
      <c r="R46" s="628"/>
      <c r="S46" s="32"/>
      <c r="T46" s="32"/>
      <c r="U46" s="138"/>
      <c r="V46" s="147"/>
      <c r="W46" s="16"/>
      <c r="X46" s="16"/>
      <c r="Y46" s="22">
        <f>SUM(Y43:Y45)</f>
        <v>0</v>
      </c>
      <c r="Z46" s="22">
        <f>SUM(Z43:Z45)</f>
        <v>0</v>
      </c>
      <c r="AA46" s="619"/>
      <c r="AB46" s="620"/>
      <c r="AC46" s="22">
        <v>3</v>
      </c>
      <c r="AD46" s="22">
        <f>SUM(AD43:AD45)</f>
        <v>0</v>
      </c>
      <c r="AE46" s="14">
        <f t="shared" si="8"/>
        <v>-132.40563729093219</v>
      </c>
      <c r="AF46" s="137">
        <f t="shared" si="9"/>
        <v>0.95586478756968929</v>
      </c>
      <c r="AG46" s="628"/>
    </row>
    <row r="47" spans="1:33" ht="15.75" customHeight="1">
      <c r="A47" s="621" t="s">
        <v>71</v>
      </c>
      <c r="B47" s="27" t="s">
        <v>5</v>
      </c>
      <c r="C47" s="660" t="s">
        <v>15</v>
      </c>
      <c r="D47" s="660"/>
      <c r="E47" s="27">
        <v>59.04</v>
      </c>
      <c r="F47" s="30">
        <v>1987</v>
      </c>
      <c r="G47" s="138">
        <f t="shared" ref="G47:G53" si="35">E47*F47</f>
        <v>117312.48</v>
      </c>
      <c r="H47" s="31" t="s">
        <v>40</v>
      </c>
      <c r="I47" s="146">
        <v>19</v>
      </c>
      <c r="J47" s="29">
        <v>2000</v>
      </c>
      <c r="K47" s="12">
        <f t="shared" si="1"/>
        <v>105.26315789473684</v>
      </c>
      <c r="L47" s="146">
        <v>19</v>
      </c>
      <c r="M47" s="13">
        <f t="shared" ref="M47" si="36">F47/V47*60</f>
        <v>1922.9032258064524</v>
      </c>
      <c r="N47" s="13">
        <f t="shared" si="3"/>
        <v>101.2054329371817</v>
      </c>
      <c r="O47" s="14">
        <f t="shared" si="4"/>
        <v>0</v>
      </c>
      <c r="P47" s="15">
        <f t="shared" si="5"/>
        <v>-4.0577249575551377</v>
      </c>
      <c r="Q47" s="137">
        <f t="shared" si="6"/>
        <v>0.96145161290322623</v>
      </c>
      <c r="R47" s="616">
        <f>Q54</f>
        <v>0.95814667170098367</v>
      </c>
      <c r="S47" s="32">
        <v>0.20833333333333334</v>
      </c>
      <c r="T47" s="32">
        <v>0.25138888888888888</v>
      </c>
      <c r="U47" s="20"/>
      <c r="V47" s="147">
        <f t="shared" ref="V47:V53" si="37">(T47-S47)*24*60</f>
        <v>61.999999999999979</v>
      </c>
      <c r="W47" s="16"/>
      <c r="X47" s="16"/>
      <c r="Y47" s="20"/>
      <c r="Z47" s="20"/>
      <c r="AA47" s="612"/>
      <c r="AB47" s="612"/>
      <c r="AC47" s="18">
        <v>7</v>
      </c>
      <c r="AD47" s="18"/>
      <c r="AE47" s="14">
        <f t="shared" si="8"/>
        <v>-77.096774193547617</v>
      </c>
      <c r="AF47" s="137">
        <f t="shared" si="9"/>
        <v>0.96145161290322623</v>
      </c>
      <c r="AG47" s="616">
        <f>AF54</f>
        <v>0.95814667170098355</v>
      </c>
    </row>
    <row r="48" spans="1:33" ht="15.75" customHeight="1">
      <c r="A48" s="621" t="s">
        <v>71</v>
      </c>
      <c r="B48" s="27" t="s">
        <v>5</v>
      </c>
      <c r="C48" s="660" t="s">
        <v>31</v>
      </c>
      <c r="D48" s="660"/>
      <c r="E48" s="27">
        <v>56.43</v>
      </c>
      <c r="F48" s="30">
        <v>1235</v>
      </c>
      <c r="G48" s="138">
        <f t="shared" si="35"/>
        <v>69691.05</v>
      </c>
      <c r="H48" s="31" t="s">
        <v>40</v>
      </c>
      <c r="I48" s="146">
        <v>22</v>
      </c>
      <c r="J48" s="29">
        <v>2000</v>
      </c>
      <c r="K48" s="12">
        <f t="shared" si="1"/>
        <v>90.909090909090907</v>
      </c>
      <c r="L48" s="146">
        <v>22</v>
      </c>
      <c r="M48" s="13">
        <f>F48/V48*60</f>
        <v>1899.9999999999991</v>
      </c>
      <c r="N48" s="13">
        <f t="shared" si="3"/>
        <v>86.363636363636317</v>
      </c>
      <c r="O48" s="14">
        <f t="shared" si="4"/>
        <v>0</v>
      </c>
      <c r="P48" s="15">
        <f t="shared" si="5"/>
        <v>-4.5454545454545894</v>
      </c>
      <c r="Q48" s="137">
        <f t="shared" si="6"/>
        <v>0.94999999999999951</v>
      </c>
      <c r="R48" s="616"/>
      <c r="S48" s="32">
        <v>0.25694444444444442</v>
      </c>
      <c r="T48" s="32">
        <v>0.28402777777777777</v>
      </c>
      <c r="U48" s="138">
        <f t="shared" ref="U48:U53" si="38">IF(S48=TIME(17,0,0),"",(S48-T47)*24*60)</f>
        <v>7.9999999999999716</v>
      </c>
      <c r="V48" s="147">
        <f t="shared" si="37"/>
        <v>39.000000000000021</v>
      </c>
      <c r="W48" s="16"/>
      <c r="X48" s="16"/>
      <c r="Y48" s="16"/>
      <c r="Z48" s="16"/>
      <c r="AA48" s="612"/>
      <c r="AB48" s="612"/>
      <c r="AC48" s="18"/>
      <c r="AD48" s="18"/>
      <c r="AE48" s="14">
        <f t="shared" si="8"/>
        <v>-100.00000000000091</v>
      </c>
      <c r="AF48" s="137">
        <f t="shared" si="9"/>
        <v>0.94999999999999951</v>
      </c>
      <c r="AG48" s="616"/>
    </row>
    <row r="49" spans="1:33" ht="15.75" customHeight="1">
      <c r="A49" s="621" t="s">
        <v>71</v>
      </c>
      <c r="B49" s="27" t="s">
        <v>8</v>
      </c>
      <c r="C49" s="605" t="s">
        <v>61</v>
      </c>
      <c r="D49" s="606"/>
      <c r="E49" s="27">
        <v>46</v>
      </c>
      <c r="F49" s="30">
        <v>2548</v>
      </c>
      <c r="G49" s="138">
        <f t="shared" si="35"/>
        <v>117208</v>
      </c>
      <c r="H49" s="31" t="s">
        <v>40</v>
      </c>
      <c r="I49" s="146">
        <v>16</v>
      </c>
      <c r="J49" s="29">
        <v>2000</v>
      </c>
      <c r="K49" s="12">
        <f t="shared" si="1"/>
        <v>125</v>
      </c>
      <c r="L49" s="146">
        <v>16</v>
      </c>
      <c r="M49" s="13">
        <f t="shared" ref="M49:M53" si="39">F49/V49*60</f>
        <v>1910.9999999999993</v>
      </c>
      <c r="N49" s="13">
        <f t="shared" si="3"/>
        <v>119.43749999999996</v>
      </c>
      <c r="O49" s="14">
        <f t="shared" si="4"/>
        <v>0</v>
      </c>
      <c r="P49" s="15">
        <f t="shared" si="5"/>
        <v>-5.5625000000000426</v>
      </c>
      <c r="Q49" s="137">
        <f t="shared" si="6"/>
        <v>0.95549999999999968</v>
      </c>
      <c r="R49" s="616"/>
      <c r="S49" s="32">
        <v>0.2895833333333333</v>
      </c>
      <c r="T49" s="32">
        <v>0.34513888888888888</v>
      </c>
      <c r="U49" s="138">
        <f t="shared" si="38"/>
        <v>7.9999999999999716</v>
      </c>
      <c r="V49" s="147">
        <f t="shared" si="37"/>
        <v>80.000000000000028</v>
      </c>
      <c r="W49" s="16"/>
      <c r="X49" s="16"/>
      <c r="Y49" s="19"/>
      <c r="Z49" s="19"/>
      <c r="AA49" s="612"/>
      <c r="AB49" s="612"/>
      <c r="AC49" s="18"/>
      <c r="AD49" s="18"/>
      <c r="AE49" s="14">
        <f t="shared" si="8"/>
        <v>-89.000000000000682</v>
      </c>
      <c r="AF49" s="137">
        <f t="shared" si="9"/>
        <v>0.95549999999999968</v>
      </c>
      <c r="AG49" s="616"/>
    </row>
    <row r="50" spans="1:33" ht="15.75" customHeight="1">
      <c r="A50" s="621" t="s">
        <v>71</v>
      </c>
      <c r="B50" s="27" t="s">
        <v>8</v>
      </c>
      <c r="C50" s="142" t="s">
        <v>79</v>
      </c>
      <c r="D50" s="143"/>
      <c r="E50" s="27">
        <v>46</v>
      </c>
      <c r="F50" s="30">
        <v>3350</v>
      </c>
      <c r="G50" s="138">
        <f t="shared" si="35"/>
        <v>154100</v>
      </c>
      <c r="H50" s="31" t="s">
        <v>40</v>
      </c>
      <c r="I50" s="146">
        <v>17</v>
      </c>
      <c r="J50" s="29">
        <v>2000</v>
      </c>
      <c r="K50" s="12">
        <f t="shared" si="1"/>
        <v>117.64705882352941</v>
      </c>
      <c r="L50" s="146">
        <v>17</v>
      </c>
      <c r="M50" s="13">
        <f t="shared" si="39"/>
        <v>1914.2857142857138</v>
      </c>
      <c r="N50" s="13">
        <f t="shared" si="3"/>
        <v>112.60504201680669</v>
      </c>
      <c r="O50" s="14">
        <f t="shared" si="4"/>
        <v>0</v>
      </c>
      <c r="P50" s="15">
        <f t="shared" si="5"/>
        <v>-5.0420168067227138</v>
      </c>
      <c r="Q50" s="137">
        <f t="shared" si="6"/>
        <v>0.95714285714285696</v>
      </c>
      <c r="R50" s="616"/>
      <c r="S50" s="32">
        <v>0.34861111111111109</v>
      </c>
      <c r="T50" s="32">
        <v>0.42152777777777778</v>
      </c>
      <c r="U50" s="138">
        <f t="shared" si="38"/>
        <v>4.9999999999999822</v>
      </c>
      <c r="V50" s="147">
        <f t="shared" si="37"/>
        <v>105.00000000000003</v>
      </c>
      <c r="W50" s="16"/>
      <c r="X50" s="16"/>
      <c r="Y50" s="19"/>
      <c r="Z50" s="19"/>
      <c r="AA50" s="612"/>
      <c r="AB50" s="612"/>
      <c r="AC50" s="18"/>
      <c r="AD50" s="18"/>
      <c r="AE50" s="14">
        <f t="shared" si="8"/>
        <v>-85.714285714286234</v>
      </c>
      <c r="AF50" s="137">
        <f t="shared" si="9"/>
        <v>0.95714285714285685</v>
      </c>
      <c r="AG50" s="616"/>
    </row>
    <row r="51" spans="1:33" ht="15.75" customHeight="1">
      <c r="A51" s="621" t="s">
        <v>71</v>
      </c>
      <c r="B51" s="27" t="s">
        <v>5</v>
      </c>
      <c r="C51" s="142" t="s">
        <v>32</v>
      </c>
      <c r="D51" s="143"/>
      <c r="E51" s="27">
        <v>55.56</v>
      </c>
      <c r="F51" s="30">
        <v>2366</v>
      </c>
      <c r="G51" s="138">
        <f t="shared" si="35"/>
        <v>131454.96</v>
      </c>
      <c r="H51" s="31" t="s">
        <v>40</v>
      </c>
      <c r="I51" s="146">
        <v>17</v>
      </c>
      <c r="J51" s="29">
        <v>2000</v>
      </c>
      <c r="K51" s="12">
        <f t="shared" si="1"/>
        <v>117.64705882352941</v>
      </c>
      <c r="L51" s="146">
        <v>17</v>
      </c>
      <c r="M51" s="13">
        <f t="shared" si="39"/>
        <v>1918.3783783783767</v>
      </c>
      <c r="N51" s="13">
        <f t="shared" si="3"/>
        <v>112.84578696343392</v>
      </c>
      <c r="O51" s="14">
        <f t="shared" si="4"/>
        <v>0</v>
      </c>
      <c r="P51" s="15">
        <f t="shared" si="5"/>
        <v>-4.8012718600954827</v>
      </c>
      <c r="Q51" s="137">
        <f t="shared" si="6"/>
        <v>0.95918918918918838</v>
      </c>
      <c r="R51" s="616"/>
      <c r="S51" s="32">
        <v>0.70833333333333337</v>
      </c>
      <c r="T51" s="32">
        <v>0.7597222222222223</v>
      </c>
      <c r="U51" s="138" t="str">
        <f t="shared" si="38"/>
        <v/>
      </c>
      <c r="V51" s="147">
        <f t="shared" si="37"/>
        <v>74.000000000000057</v>
      </c>
      <c r="W51" s="16"/>
      <c r="X51" s="16"/>
      <c r="Y51" s="19"/>
      <c r="Z51" s="19"/>
      <c r="AA51" s="612"/>
      <c r="AB51" s="612"/>
      <c r="AC51" s="18"/>
      <c r="AD51" s="18"/>
      <c r="AE51" s="14">
        <f t="shared" si="8"/>
        <v>-81.621621621623262</v>
      </c>
      <c r="AF51" s="137">
        <f t="shared" si="9"/>
        <v>0.95918918918918838</v>
      </c>
      <c r="AG51" s="616"/>
    </row>
    <row r="52" spans="1:33" ht="15.75" customHeight="1">
      <c r="A52" s="621" t="s">
        <v>71</v>
      </c>
      <c r="B52" s="27" t="s">
        <v>5</v>
      </c>
      <c r="C52" s="605" t="s">
        <v>77</v>
      </c>
      <c r="D52" s="606"/>
      <c r="E52" s="27">
        <v>54.09</v>
      </c>
      <c r="F52" s="30">
        <v>1409</v>
      </c>
      <c r="G52" s="138">
        <f t="shared" si="35"/>
        <v>76212.81</v>
      </c>
      <c r="H52" s="31" t="s">
        <v>40</v>
      </c>
      <c r="I52" s="146">
        <v>13</v>
      </c>
      <c r="J52" s="29">
        <v>2000</v>
      </c>
      <c r="K52" s="12">
        <f t="shared" si="1"/>
        <v>153.84615384615384</v>
      </c>
      <c r="L52" s="146">
        <v>13</v>
      </c>
      <c r="M52" s="13">
        <f t="shared" si="39"/>
        <v>1921.3636363636365</v>
      </c>
      <c r="N52" s="13">
        <f t="shared" si="3"/>
        <v>147.7972027972028</v>
      </c>
      <c r="O52" s="14">
        <f t="shared" si="4"/>
        <v>0</v>
      </c>
      <c r="P52" s="15">
        <f t="shared" si="5"/>
        <v>-6.0489510489510394</v>
      </c>
      <c r="Q52" s="137">
        <f t="shared" si="6"/>
        <v>0.96068181818181819</v>
      </c>
      <c r="R52" s="616"/>
      <c r="S52" s="32">
        <v>0.76458333333333339</v>
      </c>
      <c r="T52" s="32">
        <v>0.79513888888888895</v>
      </c>
      <c r="U52" s="138">
        <f t="shared" si="38"/>
        <v>6.9999999999999751</v>
      </c>
      <c r="V52" s="147">
        <f t="shared" si="37"/>
        <v>44</v>
      </c>
      <c r="W52" s="16"/>
      <c r="X52" s="16"/>
      <c r="Y52" s="19"/>
      <c r="Z52" s="19"/>
      <c r="AA52" s="607"/>
      <c r="AB52" s="608"/>
      <c r="AC52" s="18"/>
      <c r="AD52" s="18"/>
      <c r="AE52" s="14">
        <f t="shared" si="8"/>
        <v>-78.636363636363512</v>
      </c>
      <c r="AF52" s="137">
        <f t="shared" si="9"/>
        <v>0.96068181818181819</v>
      </c>
      <c r="AG52" s="616"/>
    </row>
    <row r="53" spans="1:33" ht="15.75" customHeight="1">
      <c r="A53" s="621" t="s">
        <v>71</v>
      </c>
      <c r="B53" s="27" t="s">
        <v>5</v>
      </c>
      <c r="C53" s="605" t="s">
        <v>65</v>
      </c>
      <c r="D53" s="606"/>
      <c r="E53" s="27">
        <v>56.43</v>
      </c>
      <c r="F53" s="30">
        <v>1573</v>
      </c>
      <c r="G53" s="138">
        <f t="shared" si="35"/>
        <v>88764.39</v>
      </c>
      <c r="H53" s="31" t="s">
        <v>40</v>
      </c>
      <c r="I53" s="146">
        <v>13</v>
      </c>
      <c r="J53" s="29">
        <v>2000</v>
      </c>
      <c r="K53" s="12">
        <f t="shared" si="1"/>
        <v>153.84615384615384</v>
      </c>
      <c r="L53" s="146">
        <v>13</v>
      </c>
      <c r="M53" s="13">
        <f t="shared" si="39"/>
        <v>1926.1224489795925</v>
      </c>
      <c r="N53" s="13">
        <f t="shared" si="3"/>
        <v>148.1632653061225</v>
      </c>
      <c r="O53" s="14">
        <f t="shared" si="4"/>
        <v>0</v>
      </c>
      <c r="P53" s="15">
        <f t="shared" si="5"/>
        <v>-5.6828885400313425</v>
      </c>
      <c r="Q53" s="137">
        <f t="shared" si="6"/>
        <v>0.96306122448979625</v>
      </c>
      <c r="R53" s="616"/>
      <c r="S53" s="32">
        <v>0.79861111111111116</v>
      </c>
      <c r="T53" s="32">
        <v>0.83263888888888893</v>
      </c>
      <c r="U53" s="138">
        <f t="shared" si="38"/>
        <v>4.9999999999999822</v>
      </c>
      <c r="V53" s="147">
        <f t="shared" si="37"/>
        <v>48.999999999999986</v>
      </c>
      <c r="W53" s="16"/>
      <c r="X53" s="16"/>
      <c r="Y53" s="19"/>
      <c r="Z53" s="19"/>
      <c r="AA53" s="607"/>
      <c r="AB53" s="608"/>
      <c r="AC53" s="18"/>
      <c r="AD53" s="18"/>
      <c r="AE53" s="14">
        <f t="shared" si="8"/>
        <v>-73.877551020407509</v>
      </c>
      <c r="AF53" s="137">
        <f t="shared" si="9"/>
        <v>0.96306122448979625</v>
      </c>
      <c r="AG53" s="616"/>
    </row>
    <row r="54" spans="1:33">
      <c r="A54" s="622" t="s">
        <v>71</v>
      </c>
      <c r="B54" s="27" t="s">
        <v>70</v>
      </c>
      <c r="C54" s="658"/>
      <c r="D54" s="658"/>
      <c r="E54" s="140"/>
      <c r="F54" s="28"/>
      <c r="G54" s="12"/>
      <c r="H54" s="148"/>
      <c r="I54" s="21">
        <v>16.714285714285715</v>
      </c>
      <c r="J54" s="29">
        <v>2000</v>
      </c>
      <c r="K54" s="12">
        <f t="shared" si="1"/>
        <v>119.65811965811965</v>
      </c>
      <c r="L54" s="21">
        <v>16.714285714285715</v>
      </c>
      <c r="M54" s="13">
        <f>AVERAGE(M47:M53)</f>
        <v>1916.2933434019671</v>
      </c>
      <c r="N54" s="12">
        <f t="shared" si="3"/>
        <v>114.65002909242538</v>
      </c>
      <c r="O54" s="14">
        <f t="shared" si="4"/>
        <v>0</v>
      </c>
      <c r="P54" s="15">
        <f t="shared" si="5"/>
        <v>-5.0080905656942605</v>
      </c>
      <c r="Q54" s="137">
        <f t="shared" si="6"/>
        <v>0.95814667170098367</v>
      </c>
      <c r="R54" s="616"/>
      <c r="S54" s="32"/>
      <c r="T54" s="32"/>
      <c r="U54" s="138"/>
      <c r="V54" s="147"/>
      <c r="W54" s="12"/>
      <c r="X54" s="12"/>
      <c r="Y54" s="22">
        <f>SUM(Y47:Y53)</f>
        <v>0</v>
      </c>
      <c r="Z54" s="22">
        <f>SUM(Z47:Z53)</f>
        <v>0</v>
      </c>
      <c r="AA54" s="611"/>
      <c r="AB54" s="611"/>
      <c r="AC54" s="22">
        <v>7</v>
      </c>
      <c r="AD54" s="22">
        <f>SUM(AD47:AD53)</f>
        <v>0</v>
      </c>
      <c r="AE54" s="14">
        <f>M54-J54</f>
        <v>-83.706656598032851</v>
      </c>
      <c r="AF54" s="137">
        <f t="shared" si="9"/>
        <v>0.95814667170098355</v>
      </c>
      <c r="AG54" s="616"/>
    </row>
    <row r="55" spans="1:33" ht="15.75" customHeight="1">
      <c r="A55" s="617" t="s">
        <v>72</v>
      </c>
      <c r="B55" s="148" t="s">
        <v>27</v>
      </c>
      <c r="C55" s="660" t="s">
        <v>28</v>
      </c>
      <c r="D55" s="660"/>
      <c r="E55" s="27">
        <v>35.119999999999997</v>
      </c>
      <c r="F55" s="30">
        <v>4893</v>
      </c>
      <c r="G55" s="138">
        <f t="shared" ref="G55:G58" si="40">E55*F55</f>
        <v>171842.15999999997</v>
      </c>
      <c r="H55" s="31" t="s">
        <v>40</v>
      </c>
      <c r="I55" s="146">
        <v>10</v>
      </c>
      <c r="J55" s="29">
        <v>3000</v>
      </c>
      <c r="K55" s="12">
        <f t="shared" si="1"/>
        <v>300</v>
      </c>
      <c r="L55" s="146">
        <v>10</v>
      </c>
      <c r="M55" s="13">
        <f t="shared" ref="M55:M58" si="41">F55/V55*60</f>
        <v>2878.2352941176468</v>
      </c>
      <c r="N55" s="12">
        <f t="shared" si="3"/>
        <v>287.8235294117647</v>
      </c>
      <c r="O55" s="14">
        <f t="shared" si="4"/>
        <v>0</v>
      </c>
      <c r="P55" s="15">
        <f t="shared" si="5"/>
        <v>-12.176470588235304</v>
      </c>
      <c r="Q55" s="137">
        <f t="shared" si="6"/>
        <v>0.9594117647058823</v>
      </c>
      <c r="R55" s="616">
        <f>Q59</f>
        <v>0.95459803921568653</v>
      </c>
      <c r="S55" s="32">
        <v>0.20833333333333334</v>
      </c>
      <c r="T55" s="32">
        <v>0.27916666666666667</v>
      </c>
      <c r="U55" s="138"/>
      <c r="V55" s="147">
        <f t="shared" ref="V55:V58" si="42">(T55-S55)*24*60</f>
        <v>102</v>
      </c>
      <c r="W55" s="16"/>
      <c r="X55" s="16"/>
      <c r="Y55" s="20"/>
      <c r="Z55" s="20"/>
      <c r="AA55" s="612"/>
      <c r="AB55" s="612"/>
      <c r="AC55" s="18">
        <v>4</v>
      </c>
      <c r="AD55" s="18"/>
      <c r="AE55" s="14">
        <f t="shared" ref="AE55:AE65" si="43">M55-J55</f>
        <v>-121.76470588235316</v>
      </c>
      <c r="AF55" s="137">
        <f t="shared" si="9"/>
        <v>0.9594117647058823</v>
      </c>
      <c r="AG55" s="616">
        <f>AF59</f>
        <v>0.95459803921568653</v>
      </c>
    </row>
    <row r="56" spans="1:33" ht="15.75" customHeight="1">
      <c r="A56" s="617" t="s">
        <v>468</v>
      </c>
      <c r="B56" s="148" t="s">
        <v>27</v>
      </c>
      <c r="C56" s="660" t="s">
        <v>34</v>
      </c>
      <c r="D56" s="660"/>
      <c r="E56" s="27">
        <v>26.78</v>
      </c>
      <c r="F56" s="30">
        <v>2375</v>
      </c>
      <c r="G56" s="138">
        <f t="shared" si="40"/>
        <v>63602.5</v>
      </c>
      <c r="H56" s="31" t="s">
        <v>40</v>
      </c>
      <c r="I56" s="146">
        <v>10</v>
      </c>
      <c r="J56" s="29">
        <v>3000</v>
      </c>
      <c r="K56" s="12">
        <f t="shared" si="1"/>
        <v>300</v>
      </c>
      <c r="L56" s="146">
        <v>10</v>
      </c>
      <c r="M56" s="13">
        <f t="shared" si="41"/>
        <v>2850.0000000000009</v>
      </c>
      <c r="N56" s="12">
        <f t="shared" si="3"/>
        <v>285.00000000000011</v>
      </c>
      <c r="O56" s="14">
        <f t="shared" si="4"/>
        <v>0</v>
      </c>
      <c r="P56" s="15">
        <f t="shared" si="5"/>
        <v>-14.999999999999886</v>
      </c>
      <c r="Q56" s="137">
        <f t="shared" si="6"/>
        <v>0.9500000000000004</v>
      </c>
      <c r="R56" s="616"/>
      <c r="S56" s="32">
        <v>0.28472222222222221</v>
      </c>
      <c r="T56" s="32">
        <v>0.31944444444444442</v>
      </c>
      <c r="U56" s="138">
        <f t="shared" ref="U56:U58" si="44">(S56-T55)*24*60</f>
        <v>7.9999999999999716</v>
      </c>
      <c r="V56" s="147">
        <f t="shared" si="42"/>
        <v>49.999999999999986</v>
      </c>
      <c r="W56" s="138"/>
      <c r="X56" s="138"/>
      <c r="Y56" s="138"/>
      <c r="Z56" s="138"/>
      <c r="AA56" s="612"/>
      <c r="AB56" s="612"/>
      <c r="AC56" s="18"/>
      <c r="AD56" s="18"/>
      <c r="AE56" s="14">
        <f t="shared" si="43"/>
        <v>-149.99999999999909</v>
      </c>
      <c r="AF56" s="137">
        <f t="shared" si="9"/>
        <v>0.95000000000000029</v>
      </c>
      <c r="AG56" s="616"/>
    </row>
    <row r="57" spans="1:33" ht="15.75" customHeight="1">
      <c r="A57" s="617" t="s">
        <v>469</v>
      </c>
      <c r="B57" s="148" t="s">
        <v>27</v>
      </c>
      <c r="C57" s="660" t="s">
        <v>35</v>
      </c>
      <c r="D57" s="660"/>
      <c r="E57" s="27">
        <v>35.869999999999997</v>
      </c>
      <c r="F57" s="30">
        <v>2854</v>
      </c>
      <c r="G57" s="138">
        <f t="shared" si="40"/>
        <v>102372.98</v>
      </c>
      <c r="H57" s="31" t="s">
        <v>40</v>
      </c>
      <c r="I57" s="146">
        <v>9</v>
      </c>
      <c r="J57" s="29">
        <v>3000</v>
      </c>
      <c r="K57" s="12">
        <f t="shared" si="1"/>
        <v>333.33333333333331</v>
      </c>
      <c r="L57" s="146">
        <v>9</v>
      </c>
      <c r="M57" s="13">
        <f t="shared" si="41"/>
        <v>2853.9999999999986</v>
      </c>
      <c r="N57" s="12">
        <f t="shared" si="3"/>
        <v>317.11111111111097</v>
      </c>
      <c r="O57" s="14">
        <f t="shared" si="4"/>
        <v>0</v>
      </c>
      <c r="P57" s="15">
        <f t="shared" si="5"/>
        <v>-16.222222222222342</v>
      </c>
      <c r="Q57" s="137">
        <f t="shared" si="6"/>
        <v>0.95133333333333292</v>
      </c>
      <c r="R57" s="616"/>
      <c r="S57" s="32">
        <v>0.32430555555555551</v>
      </c>
      <c r="T57" s="32">
        <v>0.3659722222222222</v>
      </c>
      <c r="U57" s="138">
        <f t="shared" si="44"/>
        <v>6.9999999999999751</v>
      </c>
      <c r="V57" s="147">
        <f t="shared" si="42"/>
        <v>60.000000000000028</v>
      </c>
      <c r="W57" s="138"/>
      <c r="X57" s="138"/>
      <c r="Y57" s="138"/>
      <c r="Z57" s="138"/>
      <c r="AA57" s="612"/>
      <c r="AB57" s="612"/>
      <c r="AC57" s="18"/>
      <c r="AD57" s="18"/>
      <c r="AE57" s="14">
        <f t="shared" si="43"/>
        <v>-146.00000000000136</v>
      </c>
      <c r="AF57" s="137">
        <f t="shared" si="9"/>
        <v>0.95133333333333292</v>
      </c>
      <c r="AG57" s="616"/>
    </row>
    <row r="58" spans="1:33" ht="15.75" customHeight="1">
      <c r="A58" s="617" t="s">
        <v>72</v>
      </c>
      <c r="B58" s="148" t="s">
        <v>27</v>
      </c>
      <c r="C58" s="660" t="s">
        <v>36</v>
      </c>
      <c r="D58" s="660"/>
      <c r="E58" s="27">
        <v>34.35</v>
      </c>
      <c r="F58" s="30">
        <v>1628</v>
      </c>
      <c r="G58" s="138">
        <f t="shared" si="40"/>
        <v>55921.8</v>
      </c>
      <c r="H58" s="31" t="s">
        <v>40</v>
      </c>
      <c r="I58" s="146">
        <v>8</v>
      </c>
      <c r="J58" s="29">
        <v>3000</v>
      </c>
      <c r="K58" s="12">
        <f t="shared" si="1"/>
        <v>375</v>
      </c>
      <c r="L58" s="146">
        <v>8</v>
      </c>
      <c r="M58" s="13">
        <f t="shared" si="41"/>
        <v>2872.9411764705915</v>
      </c>
      <c r="N58" s="12">
        <f t="shared" si="3"/>
        <v>359.11764705882393</v>
      </c>
      <c r="O58" s="14">
        <f t="shared" si="4"/>
        <v>0</v>
      </c>
      <c r="P58" s="15">
        <f t="shared" si="5"/>
        <v>-15.882352941176066</v>
      </c>
      <c r="Q58" s="137">
        <f t="shared" si="6"/>
        <v>0.95764705882353052</v>
      </c>
      <c r="R58" s="616"/>
      <c r="S58" s="32">
        <v>0.37152777777777773</v>
      </c>
      <c r="T58" s="32">
        <v>0.39513888888888882</v>
      </c>
      <c r="U58" s="138">
        <f t="shared" si="44"/>
        <v>7.9999999999999716</v>
      </c>
      <c r="V58" s="147">
        <f t="shared" si="42"/>
        <v>33.999999999999957</v>
      </c>
      <c r="W58" s="138"/>
      <c r="X58" s="138"/>
      <c r="Y58" s="138"/>
      <c r="Z58" s="138"/>
      <c r="AA58" s="612"/>
      <c r="AB58" s="612"/>
      <c r="AC58" s="18"/>
      <c r="AD58" s="18"/>
      <c r="AE58" s="14">
        <f t="shared" si="43"/>
        <v>-127.05882352940853</v>
      </c>
      <c r="AF58" s="137">
        <f t="shared" si="9"/>
        <v>0.95764705882353052</v>
      </c>
      <c r="AG58" s="616"/>
    </row>
    <row r="59" spans="1:33">
      <c r="A59" s="618" t="s">
        <v>72</v>
      </c>
      <c r="B59" s="27" t="s">
        <v>70</v>
      </c>
      <c r="C59" s="658"/>
      <c r="D59" s="658"/>
      <c r="E59" s="140"/>
      <c r="F59" s="28"/>
      <c r="G59" s="12"/>
      <c r="H59" s="148"/>
      <c r="I59" s="21">
        <v>9.25</v>
      </c>
      <c r="J59" s="29">
        <v>3000</v>
      </c>
      <c r="K59" s="12">
        <f t="shared" si="1"/>
        <v>324.32432432432432</v>
      </c>
      <c r="L59" s="21">
        <v>9.25</v>
      </c>
      <c r="M59" s="13">
        <f>AVERAGE(M55:M58)</f>
        <v>2863.7941176470595</v>
      </c>
      <c r="N59" s="12">
        <f t="shared" si="3"/>
        <v>309.5993640699524</v>
      </c>
      <c r="O59" s="14">
        <f t="shared" si="4"/>
        <v>0</v>
      </c>
      <c r="P59" s="15">
        <f t="shared" si="5"/>
        <v>-14.724960254371922</v>
      </c>
      <c r="Q59" s="137">
        <f t="shared" si="6"/>
        <v>0.95459803921568653</v>
      </c>
      <c r="R59" s="616"/>
      <c r="S59" s="32"/>
      <c r="T59" s="32"/>
      <c r="U59" s="12"/>
      <c r="V59" s="147"/>
      <c r="W59" s="12"/>
      <c r="X59" s="12"/>
      <c r="Y59" s="22">
        <f>SUM(Y55:Y58)</f>
        <v>0</v>
      </c>
      <c r="Z59" s="22">
        <f>SUM(Z55:Z58)</f>
        <v>0</v>
      </c>
      <c r="AA59" s="611"/>
      <c r="AB59" s="611"/>
      <c r="AC59" s="22">
        <v>4</v>
      </c>
      <c r="AD59" s="22">
        <f>SUM(AD55:AD58)</f>
        <v>0</v>
      </c>
      <c r="AE59" s="14">
        <f t="shared" si="43"/>
        <v>-136.20588235294053</v>
      </c>
      <c r="AF59" s="137">
        <f t="shared" si="9"/>
        <v>0.95459803921568653</v>
      </c>
      <c r="AG59" s="616"/>
    </row>
    <row r="60" spans="1:33" ht="15.75" customHeight="1">
      <c r="A60" s="613" t="s">
        <v>470</v>
      </c>
      <c r="B60" s="148" t="s">
        <v>20</v>
      </c>
      <c r="C60" s="660" t="s">
        <v>39</v>
      </c>
      <c r="D60" s="660"/>
      <c r="E60" s="27">
        <v>19.02</v>
      </c>
      <c r="F60" s="148">
        <v>8536</v>
      </c>
      <c r="G60" s="138">
        <f t="shared" ref="G60:G64" si="45">E60*F60</f>
        <v>162354.72</v>
      </c>
      <c r="H60" s="31" t="s">
        <v>40</v>
      </c>
      <c r="I60" s="146">
        <v>14</v>
      </c>
      <c r="J60" s="29">
        <v>2400</v>
      </c>
      <c r="K60" s="12">
        <f t="shared" si="1"/>
        <v>171.42857142857142</v>
      </c>
      <c r="L60" s="146">
        <v>14</v>
      </c>
      <c r="M60" s="13">
        <f t="shared" ref="M60:M64" si="46">F60/V60*60</f>
        <v>2286.4285714285711</v>
      </c>
      <c r="N60" s="12">
        <f t="shared" si="3"/>
        <v>163.31632653061223</v>
      </c>
      <c r="O60" s="14">
        <f t="shared" si="4"/>
        <v>0</v>
      </c>
      <c r="P60" s="15">
        <f t="shared" si="5"/>
        <v>-8.1122448979591866</v>
      </c>
      <c r="Q60" s="137">
        <f t="shared" si="6"/>
        <v>0.95267857142857137</v>
      </c>
      <c r="R60" s="616">
        <f>Q65</f>
        <v>0.96053824884792638</v>
      </c>
      <c r="S60" s="32">
        <v>8.3333333333333329E-2</v>
      </c>
      <c r="T60" s="32">
        <v>0.23888888888888887</v>
      </c>
      <c r="U60" s="20"/>
      <c r="V60" s="147">
        <f t="shared" ref="V60:V64" si="47">(T60-S60)*24*60</f>
        <v>224</v>
      </c>
      <c r="W60" s="16">
        <f>T60</f>
        <v>0.23888888888888887</v>
      </c>
      <c r="X60" s="16">
        <f>S61</f>
        <v>0.25624999999999998</v>
      </c>
      <c r="Y60" s="16"/>
      <c r="Z60" s="16"/>
      <c r="AA60" s="612"/>
      <c r="AB60" s="612"/>
      <c r="AC60" s="18">
        <v>5</v>
      </c>
      <c r="AD60" s="18"/>
      <c r="AE60" s="14">
        <f t="shared" si="43"/>
        <v>-113.5714285714289</v>
      </c>
      <c r="AF60" s="137">
        <f t="shared" si="9"/>
        <v>0.95267857142857126</v>
      </c>
      <c r="AG60" s="616">
        <f>AF65</f>
        <v>0.96053824884792638</v>
      </c>
    </row>
    <row r="61" spans="1:33" ht="15.75" customHeight="1">
      <c r="A61" s="614" t="s">
        <v>82</v>
      </c>
      <c r="B61" s="148" t="s">
        <v>20</v>
      </c>
      <c r="C61" s="660" t="s">
        <v>24</v>
      </c>
      <c r="D61" s="660"/>
      <c r="E61" s="27">
        <v>20.36</v>
      </c>
      <c r="F61" s="148">
        <v>3456</v>
      </c>
      <c r="G61" s="138">
        <f t="shared" si="45"/>
        <v>70364.160000000003</v>
      </c>
      <c r="H61" s="31" t="s">
        <v>40</v>
      </c>
      <c r="I61" s="146">
        <v>17</v>
      </c>
      <c r="J61" s="29">
        <v>2400</v>
      </c>
      <c r="K61" s="12">
        <f t="shared" si="1"/>
        <v>141.1764705882353</v>
      </c>
      <c r="L61" s="146">
        <v>17</v>
      </c>
      <c r="M61" s="13">
        <f t="shared" si="46"/>
        <v>2304</v>
      </c>
      <c r="N61" s="12">
        <f t="shared" si="3"/>
        <v>135.52941176470588</v>
      </c>
      <c r="O61" s="14">
        <f t="shared" si="4"/>
        <v>0</v>
      </c>
      <c r="P61" s="15">
        <f t="shared" si="5"/>
        <v>-5.6470588235294201</v>
      </c>
      <c r="Q61" s="137">
        <f t="shared" si="6"/>
        <v>0.96</v>
      </c>
      <c r="R61" s="616"/>
      <c r="S61" s="32">
        <v>0.25624999999999998</v>
      </c>
      <c r="T61" s="32">
        <v>0.31874999999999998</v>
      </c>
      <c r="U61" s="138">
        <f t="shared" ref="U61:U64" si="48">(S61-T60)*24*60</f>
        <v>24.999999999999993</v>
      </c>
      <c r="V61" s="147">
        <f t="shared" si="47"/>
        <v>90</v>
      </c>
      <c r="W61" s="16"/>
      <c r="X61" s="16"/>
      <c r="Y61" s="16"/>
      <c r="Z61" s="16"/>
      <c r="AA61" s="612"/>
      <c r="AB61" s="612"/>
      <c r="AC61" s="18"/>
      <c r="AD61" s="18"/>
      <c r="AE61" s="14">
        <f t="shared" si="43"/>
        <v>-96</v>
      </c>
      <c r="AF61" s="137">
        <f t="shared" si="9"/>
        <v>0.96</v>
      </c>
      <c r="AG61" s="616"/>
    </row>
    <row r="62" spans="1:33" ht="15.75" customHeight="1">
      <c r="A62" s="614" t="s">
        <v>82</v>
      </c>
      <c r="B62" s="148" t="s">
        <v>20</v>
      </c>
      <c r="C62" s="660" t="s">
        <v>59</v>
      </c>
      <c r="D62" s="660"/>
      <c r="E62" s="27">
        <v>25.99</v>
      </c>
      <c r="F62" s="148">
        <v>1201</v>
      </c>
      <c r="G62" s="138">
        <f t="shared" si="45"/>
        <v>31213.989999999998</v>
      </c>
      <c r="H62" s="31" t="s">
        <v>40</v>
      </c>
      <c r="I62" s="146">
        <v>18</v>
      </c>
      <c r="J62" s="29">
        <v>2400</v>
      </c>
      <c r="K62" s="12">
        <f t="shared" si="1"/>
        <v>133.33333333333334</v>
      </c>
      <c r="L62" s="146">
        <v>18</v>
      </c>
      <c r="M62" s="13">
        <f t="shared" si="46"/>
        <v>2324.5161290322603</v>
      </c>
      <c r="N62" s="12">
        <f t="shared" si="3"/>
        <v>129.13978494623669</v>
      </c>
      <c r="O62" s="14">
        <f t="shared" si="4"/>
        <v>0</v>
      </c>
      <c r="P62" s="15">
        <f t="shared" si="5"/>
        <v>-4.193548387096655</v>
      </c>
      <c r="Q62" s="137">
        <f t="shared" si="6"/>
        <v>0.96854838709677504</v>
      </c>
      <c r="R62" s="616"/>
      <c r="S62" s="32">
        <v>0.32361111111111107</v>
      </c>
      <c r="T62" s="32">
        <v>0.34513888888888883</v>
      </c>
      <c r="U62" s="138">
        <f t="shared" si="48"/>
        <v>6.9999999999999751</v>
      </c>
      <c r="V62" s="147">
        <f t="shared" si="47"/>
        <v>30.999999999999972</v>
      </c>
      <c r="W62" s="16"/>
      <c r="X62" s="16"/>
      <c r="Y62" s="16"/>
      <c r="Z62" s="16"/>
      <c r="AA62" s="612"/>
      <c r="AB62" s="612"/>
      <c r="AC62" s="18"/>
      <c r="AD62" s="18"/>
      <c r="AE62" s="14">
        <f t="shared" si="43"/>
        <v>-75.483870967739676</v>
      </c>
      <c r="AF62" s="137">
        <f t="shared" si="9"/>
        <v>0.96854838709677515</v>
      </c>
      <c r="AG62" s="616"/>
    </row>
    <row r="63" spans="1:33" ht="15.75" customHeight="1">
      <c r="A63" s="614" t="s">
        <v>82</v>
      </c>
      <c r="B63" s="148" t="s">
        <v>20</v>
      </c>
      <c r="C63" s="660" t="s">
        <v>38</v>
      </c>
      <c r="D63" s="660"/>
      <c r="E63" s="27">
        <v>22.69</v>
      </c>
      <c r="F63" s="148">
        <v>2166</v>
      </c>
      <c r="G63" s="138">
        <f t="shared" si="45"/>
        <v>49146.54</v>
      </c>
      <c r="H63" s="31" t="s">
        <v>40</v>
      </c>
      <c r="I63" s="146">
        <v>15</v>
      </c>
      <c r="J63" s="29">
        <v>2400</v>
      </c>
      <c r="K63" s="12">
        <f t="shared" si="1"/>
        <v>160</v>
      </c>
      <c r="L63" s="146">
        <v>15</v>
      </c>
      <c r="M63" s="13">
        <f t="shared" si="46"/>
        <v>2320.714285714284</v>
      </c>
      <c r="N63" s="12">
        <f t="shared" si="3"/>
        <v>154.71428571428561</v>
      </c>
      <c r="O63" s="14">
        <f t="shared" si="4"/>
        <v>0</v>
      </c>
      <c r="P63" s="15">
        <f t="shared" si="5"/>
        <v>-5.2857142857143913</v>
      </c>
      <c r="Q63" s="137">
        <f t="shared" si="6"/>
        <v>0.96696428571428505</v>
      </c>
      <c r="R63" s="616"/>
      <c r="S63" s="32">
        <v>0.34861111111111104</v>
      </c>
      <c r="T63" s="32">
        <v>0.38749999999999996</v>
      </c>
      <c r="U63" s="138">
        <f t="shared" si="48"/>
        <v>4.9999999999999822</v>
      </c>
      <c r="V63" s="147">
        <f t="shared" si="47"/>
        <v>56.000000000000043</v>
      </c>
      <c r="W63" s="16"/>
      <c r="X63" s="16"/>
      <c r="Y63" s="16"/>
      <c r="Z63" s="16"/>
      <c r="AA63" s="612"/>
      <c r="AB63" s="612"/>
      <c r="AC63" s="18"/>
      <c r="AD63" s="18"/>
      <c r="AE63" s="14">
        <f t="shared" si="43"/>
        <v>-79.28571428571604</v>
      </c>
      <c r="AF63" s="137">
        <f t="shared" si="9"/>
        <v>0.96696428571428494</v>
      </c>
      <c r="AG63" s="616"/>
    </row>
    <row r="64" spans="1:33" ht="15.75" customHeight="1">
      <c r="A64" s="614" t="s">
        <v>82</v>
      </c>
      <c r="B64" s="148" t="s">
        <v>20</v>
      </c>
      <c r="C64" s="660" t="s">
        <v>80</v>
      </c>
      <c r="D64" s="660"/>
      <c r="E64" s="27">
        <v>25.98</v>
      </c>
      <c r="F64" s="148">
        <v>3818</v>
      </c>
      <c r="G64" s="138">
        <f t="shared" si="45"/>
        <v>99191.64</v>
      </c>
      <c r="H64" s="31" t="s">
        <v>40</v>
      </c>
      <c r="I64" s="146">
        <v>17</v>
      </c>
      <c r="J64" s="29">
        <v>2400</v>
      </c>
      <c r="K64" s="12">
        <f t="shared" si="1"/>
        <v>141.1764705882353</v>
      </c>
      <c r="L64" s="146">
        <v>17</v>
      </c>
      <c r="M64" s="13">
        <f t="shared" si="46"/>
        <v>2290.8000000000006</v>
      </c>
      <c r="N64" s="12">
        <f t="shared" si="3"/>
        <v>134.75294117647061</v>
      </c>
      <c r="O64" s="14">
        <f t="shared" si="4"/>
        <v>0</v>
      </c>
      <c r="P64" s="15">
        <f t="shared" si="5"/>
        <v>-6.4235294117646902</v>
      </c>
      <c r="Q64" s="137">
        <f t="shared" si="6"/>
        <v>0.95450000000000013</v>
      </c>
      <c r="R64" s="616"/>
      <c r="S64" s="32">
        <v>0.39166666666666661</v>
      </c>
      <c r="T64" s="32">
        <v>0.46111111111111103</v>
      </c>
      <c r="U64" s="138">
        <f t="shared" si="48"/>
        <v>5.9999999999999787</v>
      </c>
      <c r="V64" s="147">
        <f t="shared" si="47"/>
        <v>99.999999999999972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-109.19999999999936</v>
      </c>
      <c r="AF64" s="137">
        <f t="shared" si="9"/>
        <v>0.95450000000000024</v>
      </c>
      <c r="AG64" s="616"/>
    </row>
    <row r="65" spans="1:33" ht="16.5" customHeight="1">
      <c r="A65" s="615" t="s">
        <v>82</v>
      </c>
      <c r="B65" s="27" t="s">
        <v>70</v>
      </c>
      <c r="C65" s="609"/>
      <c r="D65" s="610"/>
      <c r="E65" s="140"/>
      <c r="F65" s="28"/>
      <c r="G65" s="12"/>
      <c r="H65" s="148"/>
      <c r="I65" s="21">
        <v>16.2</v>
      </c>
      <c r="J65" s="29">
        <v>2400</v>
      </c>
      <c r="K65" s="12">
        <f t="shared" si="1"/>
        <v>148.14814814814815</v>
      </c>
      <c r="L65" s="21">
        <v>16.2</v>
      </c>
      <c r="M65" s="13">
        <f>AVERAGE(M60:M64)</f>
        <v>2305.2917972350233</v>
      </c>
      <c r="N65" s="12">
        <f t="shared" si="3"/>
        <v>142.30196279228539</v>
      </c>
      <c r="O65" s="14">
        <f t="shared" si="4"/>
        <v>0</v>
      </c>
      <c r="P65" s="15">
        <f t="shared" si="5"/>
        <v>-5.8461853558627581</v>
      </c>
      <c r="Q65" s="137">
        <f t="shared" si="6"/>
        <v>0.96053824884792638</v>
      </c>
      <c r="R65" s="616"/>
      <c r="S65" s="32"/>
      <c r="T65" s="32"/>
      <c r="U65" s="12"/>
      <c r="V65" s="147"/>
      <c r="W65" s="12"/>
      <c r="X65" s="12"/>
      <c r="Y65" s="22">
        <f>SUM(Y60:Y64)</f>
        <v>0</v>
      </c>
      <c r="Z65" s="22">
        <f>SUM(Z60:Z64)</f>
        <v>0</v>
      </c>
      <c r="AA65" s="611"/>
      <c r="AB65" s="611"/>
      <c r="AC65" s="22">
        <v>5</v>
      </c>
      <c r="AD65" s="22">
        <f>SUM(AD60:AD64)</f>
        <v>0</v>
      </c>
      <c r="AE65" s="14">
        <f t="shared" si="43"/>
        <v>-94.708202764976704</v>
      </c>
      <c r="AF65" s="137">
        <f t="shared" si="9"/>
        <v>0.96053824884792638</v>
      </c>
      <c r="AG65" s="616"/>
    </row>
    <row r="66" spans="1:33">
      <c r="D66" s="23"/>
      <c r="E66" s="23"/>
    </row>
  </sheetData>
  <mergeCells count="181"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5"/>
    <mergeCell ref="C60:D60"/>
    <mergeCell ref="R60:R65"/>
    <mergeCell ref="AA60:AB60"/>
    <mergeCell ref="AA65:AB65"/>
    <mergeCell ref="A55:A59"/>
    <mergeCell ref="C55:D55"/>
    <mergeCell ref="R55:R59"/>
    <mergeCell ref="AA55:AB55"/>
    <mergeCell ref="AG55:AG59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43:AG46"/>
    <mergeCell ref="C44:D44"/>
    <mergeCell ref="AA44:AB44"/>
    <mergeCell ref="C45:D45"/>
    <mergeCell ref="AA45:AB45"/>
    <mergeCell ref="C46:D46"/>
    <mergeCell ref="AA46:AB46"/>
    <mergeCell ref="C41:D41"/>
    <mergeCell ref="AA41:AB41"/>
    <mergeCell ref="C42:D42"/>
    <mergeCell ref="AA42:AB42"/>
    <mergeCell ref="AG35:AG42"/>
    <mergeCell ref="A43:A46"/>
    <mergeCell ref="C43:D43"/>
    <mergeCell ref="R43:R46"/>
    <mergeCell ref="AA43:AB43"/>
    <mergeCell ref="C38:D38"/>
    <mergeCell ref="AA38:AB38"/>
    <mergeCell ref="C39:D39"/>
    <mergeCell ref="AA39:AB39"/>
    <mergeCell ref="C40:D40"/>
    <mergeCell ref="AA40:AB40"/>
    <mergeCell ref="A35:A42"/>
    <mergeCell ref="C35:D35"/>
    <mergeCell ref="R35:R42"/>
    <mergeCell ref="AA35:AB35"/>
    <mergeCell ref="C36:D36"/>
    <mergeCell ref="AA36:AB36"/>
    <mergeCell ref="C37:D37"/>
    <mergeCell ref="AA37:AB37"/>
    <mergeCell ref="AG27:AG34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27:A34"/>
    <mergeCell ref="C27:D27"/>
    <mergeCell ref="R27:R34"/>
    <mergeCell ref="AA27:AB27"/>
    <mergeCell ref="AA32:AB32"/>
    <mergeCell ref="C33:D33"/>
    <mergeCell ref="AA33:AB33"/>
    <mergeCell ref="C34:D34"/>
    <mergeCell ref="AA34:AB34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4:O55 O58:O65 O5:O8 O12:O14 O19:O52">
    <cfRule type="cellIs" dxfId="283" priority="41" operator="greaterThan">
      <formula>0</formula>
    </cfRule>
  </conditionalFormatting>
  <conditionalFormatting sqref="P5:P6 P58 AE58 P60:P64 P27:P33 P55 P8 P12:P14 P20:P25 P47:P52 P35:P45 AE5:AE55 AE60:AE65">
    <cfRule type="cellIs" dxfId="282" priority="45" operator="lessThan">
      <formula>0</formula>
    </cfRule>
  </conditionalFormatting>
  <conditionalFormatting sqref="AF58 Q54:Q55 Q58:Q65 Q5:Q8 Q12:Q14 Q19:Q52 AF5:AF55 AF60:AF65">
    <cfRule type="cellIs" dxfId="281" priority="42" operator="greaterThan">
      <formula>1</formula>
    </cfRule>
    <cfRule type="cellIs" dxfId="280" priority="43" operator="lessThan">
      <formula>0.8</formula>
    </cfRule>
  </conditionalFormatting>
  <conditionalFormatting sqref="AG13:AG14 R13:R14 AG58 AG54:AG55 R54:R55 R58:R65 AG5:AG8 R5:R8 AG19:AG52 R19:R52">
    <cfRule type="cellIs" dxfId="279" priority="47" operator="lessThan">
      <formula>0.8</formula>
    </cfRule>
  </conditionalFormatting>
  <conditionalFormatting sqref="AG43">
    <cfRule type="cellIs" dxfId="278" priority="49" operator="lessThan">
      <formula>0.8</formula>
    </cfRule>
  </conditionalFormatting>
  <conditionalFormatting sqref="AG20:AG25">
    <cfRule type="cellIs" dxfId="277" priority="46" operator="lessThan">
      <formula>0.8</formula>
    </cfRule>
  </conditionalFormatting>
  <conditionalFormatting sqref="AG27">
    <cfRule type="cellIs" dxfId="276" priority="48" operator="lessThan">
      <formula>0.8</formula>
    </cfRule>
  </conditionalFormatting>
  <conditionalFormatting sqref="AG35:AG41">
    <cfRule type="cellIs" dxfId="275" priority="44" operator="lessThan">
      <formula>0.8</formula>
    </cfRule>
  </conditionalFormatting>
  <conditionalFormatting sqref="AE59">
    <cfRule type="cellIs" dxfId="274" priority="40" operator="lessThan">
      <formula>0</formula>
    </cfRule>
  </conditionalFormatting>
  <conditionalFormatting sqref="AF59">
    <cfRule type="cellIs" dxfId="273" priority="38" operator="greaterThan">
      <formula>1</formula>
    </cfRule>
    <cfRule type="cellIs" dxfId="272" priority="39" operator="lessThan">
      <formula>0.8</formula>
    </cfRule>
  </conditionalFormatting>
  <conditionalFormatting sqref="O15:O16">
    <cfRule type="cellIs" dxfId="271" priority="33" operator="greaterThan">
      <formula>0</formula>
    </cfRule>
  </conditionalFormatting>
  <conditionalFormatting sqref="P15:P16">
    <cfRule type="cellIs" dxfId="270" priority="36" operator="lessThan">
      <formula>0</formula>
    </cfRule>
  </conditionalFormatting>
  <conditionalFormatting sqref="Q15:Q16">
    <cfRule type="cellIs" dxfId="269" priority="34" operator="greaterThan">
      <formula>1</formula>
    </cfRule>
    <cfRule type="cellIs" dxfId="268" priority="35" operator="lessThan">
      <formula>0.8</formula>
    </cfRule>
  </conditionalFormatting>
  <conditionalFormatting sqref="R15:R16 AG15:AG16">
    <cfRule type="cellIs" dxfId="267" priority="37" operator="lessThan">
      <formula>0.8</formula>
    </cfRule>
  </conditionalFormatting>
  <conditionalFormatting sqref="O9:O11">
    <cfRule type="cellIs" dxfId="266" priority="29" operator="greaterThan">
      <formula>0</formula>
    </cfRule>
  </conditionalFormatting>
  <conditionalFormatting sqref="P9:P11">
    <cfRule type="cellIs" dxfId="265" priority="32" operator="lessThan">
      <formula>0</formula>
    </cfRule>
  </conditionalFormatting>
  <conditionalFormatting sqref="Q9:Q11">
    <cfRule type="cellIs" dxfId="264" priority="30" operator="greaterThan">
      <formula>1</formula>
    </cfRule>
    <cfRule type="cellIs" dxfId="263" priority="31" operator="lessThan">
      <formula>0.8</formula>
    </cfRule>
  </conditionalFormatting>
  <conditionalFormatting sqref="O53">
    <cfRule type="cellIs" dxfId="262" priority="24" operator="greaterThan">
      <formula>0</formula>
    </cfRule>
  </conditionalFormatting>
  <conditionalFormatting sqref="P53">
    <cfRule type="cellIs" dxfId="261" priority="27" operator="lessThan">
      <formula>0</formula>
    </cfRule>
  </conditionalFormatting>
  <conditionalFormatting sqref="Q53">
    <cfRule type="cellIs" dxfId="260" priority="25" operator="greaterThan">
      <formula>1</formula>
    </cfRule>
    <cfRule type="cellIs" dxfId="259" priority="26" operator="lessThan">
      <formula>0.8</formula>
    </cfRule>
  </conditionalFormatting>
  <conditionalFormatting sqref="R53 AG53">
    <cfRule type="cellIs" dxfId="258" priority="28" operator="lessThan">
      <formula>0.8</formula>
    </cfRule>
  </conditionalFormatting>
  <conditionalFormatting sqref="O57">
    <cfRule type="cellIs" dxfId="257" priority="19" operator="greaterThan">
      <formula>0</formula>
    </cfRule>
  </conditionalFormatting>
  <conditionalFormatting sqref="P57 AE57">
    <cfRule type="cellIs" dxfId="256" priority="22" operator="lessThan">
      <formula>0</formula>
    </cfRule>
  </conditionalFormatting>
  <conditionalFormatting sqref="Q57 AF57">
    <cfRule type="cellIs" dxfId="255" priority="20" operator="greaterThan">
      <formula>1</formula>
    </cfRule>
    <cfRule type="cellIs" dxfId="254" priority="21" operator="lessThan">
      <formula>0.8</formula>
    </cfRule>
  </conditionalFormatting>
  <conditionalFormatting sqref="R57 AG57">
    <cfRule type="cellIs" dxfId="253" priority="23" operator="lessThan">
      <formula>0.8</formula>
    </cfRule>
  </conditionalFormatting>
  <conditionalFormatting sqref="O17:O18">
    <cfRule type="cellIs" dxfId="252" priority="14" operator="greaterThan">
      <formula>0</formula>
    </cfRule>
  </conditionalFormatting>
  <conditionalFormatting sqref="P17:P18">
    <cfRule type="cellIs" dxfId="251" priority="17" operator="lessThan">
      <formula>0</formula>
    </cfRule>
  </conditionalFormatting>
  <conditionalFormatting sqref="Q17:Q18">
    <cfRule type="cellIs" dxfId="250" priority="15" operator="greaterThan">
      <formula>1</formula>
    </cfRule>
    <cfRule type="cellIs" dxfId="249" priority="16" operator="lessThan">
      <formula>0.8</formula>
    </cfRule>
  </conditionalFormatting>
  <conditionalFormatting sqref="R17:R18 AG17:AG18">
    <cfRule type="cellIs" dxfId="248" priority="18" operator="lessThan">
      <formula>0.8</formula>
    </cfRule>
  </conditionalFormatting>
  <conditionalFormatting sqref="O56">
    <cfRule type="cellIs" dxfId="247" priority="9" operator="greaterThan">
      <formula>0</formula>
    </cfRule>
  </conditionalFormatting>
  <conditionalFormatting sqref="P56 AE56">
    <cfRule type="cellIs" dxfId="246" priority="12" operator="lessThan">
      <formula>0</formula>
    </cfRule>
  </conditionalFormatting>
  <conditionalFormatting sqref="Q56 AF56">
    <cfRule type="cellIs" dxfId="245" priority="10" operator="greaterThan">
      <formula>1</formula>
    </cfRule>
    <cfRule type="cellIs" dxfId="244" priority="11" operator="lessThan">
      <formula>0.8</formula>
    </cfRule>
  </conditionalFormatting>
  <conditionalFormatting sqref="R56 AG56">
    <cfRule type="cellIs" dxfId="243" priority="13" operator="lessThan">
      <formula>0.8</formula>
    </cfRule>
  </conditionalFormatting>
  <conditionalFormatting sqref="P7">
    <cfRule type="cellIs" dxfId="242" priority="8" operator="lessThan">
      <formula>0</formula>
    </cfRule>
  </conditionalFormatting>
  <conditionalFormatting sqref="P19">
    <cfRule type="cellIs" dxfId="241" priority="7" operator="lessThan">
      <formula>0</formula>
    </cfRule>
  </conditionalFormatting>
  <conditionalFormatting sqref="P26">
    <cfRule type="cellIs" dxfId="240" priority="6" operator="lessThan">
      <formula>0</formula>
    </cfRule>
  </conditionalFormatting>
  <conditionalFormatting sqref="P34">
    <cfRule type="cellIs" dxfId="239" priority="5" operator="lessThan">
      <formula>0</formula>
    </cfRule>
  </conditionalFormatting>
  <conditionalFormatting sqref="P46">
    <cfRule type="cellIs" dxfId="238" priority="4" operator="lessThan">
      <formula>0</formula>
    </cfRule>
  </conditionalFormatting>
  <conditionalFormatting sqref="P54">
    <cfRule type="cellIs" dxfId="237" priority="3" operator="lessThan">
      <formula>0</formula>
    </cfRule>
  </conditionalFormatting>
  <conditionalFormatting sqref="P59">
    <cfRule type="cellIs" dxfId="236" priority="2" operator="lessThan">
      <formula>0</formula>
    </cfRule>
  </conditionalFormatting>
  <conditionalFormatting sqref="P65">
    <cfRule type="cellIs" dxfId="235" priority="1" operator="lessThan">
      <formula>0</formula>
    </cfRule>
  </conditionalFormatting>
  <dataValidations count="1">
    <dataValidation type="list" allowBlank="1" showInputMessage="1" showErrorMessage="1" sqref="AB7 AA5:AB6 AA7:AA58 AB9:AB55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6" sqref="M6:M8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287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288</v>
      </c>
      <c r="C3" s="594" t="str">
        <f>TEXT('0703 4度C'!A2,"yyyy.mm.ddaaaa")</f>
        <v>2026.07.03星期五</v>
      </c>
      <c r="D3" s="595"/>
      <c r="E3" s="36" t="s">
        <v>289</v>
      </c>
      <c r="F3" s="596">
        <f>'0703 4度C'!D1</f>
        <v>137826</v>
      </c>
      <c r="G3" s="597"/>
      <c r="H3" s="36" t="s">
        <v>290</v>
      </c>
      <c r="I3" s="598">
        <f>'0703 4度C'!F1</f>
        <v>4689379.5199999986</v>
      </c>
      <c r="J3" s="599"/>
      <c r="K3" s="37"/>
      <c r="L3" s="38"/>
      <c r="M3" s="39"/>
      <c r="N3" s="39"/>
    </row>
    <row r="4" spans="2:17" ht="28.5" customHeight="1">
      <c r="B4" s="600" t="s">
        <v>291</v>
      </c>
      <c r="C4" s="586" t="s">
        <v>292</v>
      </c>
      <c r="D4" s="587"/>
      <c r="E4" s="603" t="s">
        <v>293</v>
      </c>
      <c r="F4" s="604"/>
      <c r="G4" s="603" t="s">
        <v>294</v>
      </c>
      <c r="H4" s="604"/>
      <c r="I4" s="603" t="s">
        <v>295</v>
      </c>
      <c r="J4" s="604"/>
      <c r="K4" s="584" t="s">
        <v>296</v>
      </c>
      <c r="L4" s="585"/>
      <c r="M4" s="585" t="s">
        <v>297</v>
      </c>
      <c r="N4" s="585"/>
    </row>
    <row r="5" spans="2:17" ht="28.5" customHeight="1">
      <c r="B5" s="601"/>
      <c r="C5" s="586" t="s">
        <v>298</v>
      </c>
      <c r="D5" s="587"/>
      <c r="E5" s="586" t="s">
        <v>299</v>
      </c>
      <c r="F5" s="587"/>
      <c r="G5" s="588" t="s">
        <v>300</v>
      </c>
      <c r="H5" s="589"/>
      <c r="I5" s="590" t="s">
        <v>301</v>
      </c>
      <c r="J5" s="591"/>
      <c r="K5" s="40" t="s">
        <v>302</v>
      </c>
      <c r="L5" s="41" t="s">
        <v>303</v>
      </c>
      <c r="M5" s="40" t="s">
        <v>302</v>
      </c>
      <c r="N5" s="41" t="s">
        <v>304</v>
      </c>
    </row>
    <row r="6" spans="2:17" ht="28.5" customHeight="1">
      <c r="B6" s="601"/>
      <c r="C6" s="586" t="s">
        <v>41</v>
      </c>
      <c r="D6" s="587"/>
      <c r="E6" s="578">
        <f>AVERAGE(D13:M13)</f>
        <v>157.9850825680102</v>
      </c>
      <c r="F6" s="579">
        <f>AVERAGE(D31:O31,D13:J13)</f>
        <v>166.99561348717447</v>
      </c>
      <c r="G6" s="580">
        <f>AVERAGE(D13:J13)</f>
        <v>166.99561348717447</v>
      </c>
      <c r="H6" s="581"/>
      <c r="I6" s="580">
        <f>AVERAGE(K13:M13)</f>
        <v>136.96051042329361</v>
      </c>
      <c r="J6" s="581"/>
      <c r="K6" s="582">
        <f>'0703 4度C'!Y2</f>
        <v>0</v>
      </c>
      <c r="L6" s="567">
        <f>'0703 4度C'!Z2</f>
        <v>0</v>
      </c>
      <c r="M6" s="583">
        <f>'0703 4度C'!AC2</f>
        <v>49</v>
      </c>
      <c r="N6" s="567">
        <f>'0703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151.31573334661678</v>
      </c>
      <c r="F7" s="571">
        <f>AVERAGE(D32:O32,D14:J14)</f>
        <v>160.01298054079871</v>
      </c>
      <c r="G7" s="572">
        <f>AVERAGE(D14:J14)</f>
        <v>160.01298054079871</v>
      </c>
      <c r="H7" s="573"/>
      <c r="I7" s="572">
        <f>AVERAGE(K14:M14)</f>
        <v>131.02215656019229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0.95823613781444406</v>
      </c>
      <c r="F8" s="575">
        <f>AVERAGE(D15:J15,D33:O33)</f>
        <v>0.95895299605466644</v>
      </c>
      <c r="G8" s="576">
        <f>AVERAGE(D15:J15)</f>
        <v>0.95895299605466644</v>
      </c>
      <c r="H8" s="577"/>
      <c r="I8" s="576">
        <f>AVERAGE(K15:M15)</f>
        <v>0.95656346858725838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305</v>
      </c>
      <c r="N9" s="39"/>
      <c r="O9" s="39"/>
      <c r="P9" s="39"/>
      <c r="Q9" s="39"/>
    </row>
    <row r="10" spans="2:17" ht="30" customHeight="1">
      <c r="B10" s="550" t="s">
        <v>306</v>
      </c>
      <c r="C10" s="551"/>
      <c r="D10" s="552" t="s">
        <v>307</v>
      </c>
      <c r="E10" s="553"/>
      <c r="F10" s="553"/>
      <c r="G10" s="553"/>
      <c r="H10" s="553"/>
      <c r="I10" s="553"/>
      <c r="J10" s="554"/>
      <c r="K10" s="555" t="s">
        <v>308</v>
      </c>
      <c r="L10" s="556"/>
      <c r="M10" s="557"/>
      <c r="P10" s="45"/>
      <c r="Q10" s="45"/>
    </row>
    <row r="11" spans="2:17" ht="17.25" customHeight="1">
      <c r="B11" s="558" t="s">
        <v>309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310</v>
      </c>
      <c r="C13" s="52" t="s">
        <v>311</v>
      </c>
      <c r="D13" s="53">
        <f>SUMIFS('0703 4度C'!$K:$K,'0703 4度C'!$A:$A,"新豐6線",'0703 4度C'!$B:$B,"平均")</f>
        <v>129.03225806451613</v>
      </c>
      <c r="E13" s="54">
        <f>SUMIFS('0703 4度C'!$K:$K,'0703 4度C'!$A:$A,"新豐2線",'0703 4度C'!$B:$B,"平均")</f>
        <v>88.235294117647058</v>
      </c>
      <c r="F13" s="55">
        <f>SUMIFS('0703 4度C'!$K:$K,'0703 4度C'!$A:$A,"新豐5線",'0703 4度C'!$B:$B,"平均")</f>
        <v>87.719298245614041</v>
      </c>
      <c r="G13" s="55">
        <f>SUMIFS('0703 4度C'!$K:$K,'0703 4度C'!$A:$A,"新豐7線",'0703 4度C'!$B:$B,"平均")</f>
        <v>119.99999999999999</v>
      </c>
      <c r="H13" s="55">
        <f>SUMIFS('0703 4度C'!$K:$K,'0703 4度C'!$A:$A,"新豐3線",'0703 4度C'!$B:$B,"平均")</f>
        <v>300</v>
      </c>
      <c r="I13" s="55">
        <f>SUMIFS('0703 4度C'!$K:$K,'0703 4度C'!$A:$A,"新豐1線",'0703 4度C'!$B:$B,"平均")</f>
        <v>119.65811965811965</v>
      </c>
      <c r="J13" s="56">
        <f>SUMIFS('0703 4度C'!$K:$K,'0703 4度C'!$A:$A,"新豐10線",'0703 4度C'!$B:$B,"平均")</f>
        <v>324.32432432432432</v>
      </c>
      <c r="K13" s="57">
        <f>SUMIFS('0703 4度C'!$K:$K,'0703 4度C'!$A:$A,"新豐8線",'0703 4度C'!$B:$B,"平均")</f>
        <v>138.46153846153848</v>
      </c>
      <c r="L13" s="58">
        <f>SUMIFS('0703 4度C'!$K:$K,'0703 4度C'!$A:$A,"新豐9線",'0703 4度C'!$B:$B,"平均")</f>
        <v>124.27184466019418</v>
      </c>
      <c r="M13" s="56">
        <f>SUMIFS('0703 4度C'!$K:$K,'0703 4度C'!$A:$A,"新豐4線",'0703 4度C'!$B:$B,"平均")</f>
        <v>148.14814814814815</v>
      </c>
    </row>
    <row r="14" spans="2:17" ht="39.6" customHeight="1">
      <c r="B14" s="563"/>
      <c r="C14" s="59" t="s">
        <v>312</v>
      </c>
      <c r="D14" s="60">
        <f>SUMIFS('0703 4度C'!$N:$N,'0703 4度C'!$A:$A,"新豐6線",'0703 4度C'!$B:$B,"平均")</f>
        <v>123.97664071190222</v>
      </c>
      <c r="E14" s="61">
        <f>SUMIFS('0703 4度C'!$N:$N,'0703 4度C'!$A:$A,"新豐2線",'0703 4度C'!$B:$B,"平均")</f>
        <v>84.175611099170368</v>
      </c>
      <c r="F14" s="61">
        <f>SUMIFS('0703 4度C'!$N:$N,'0703 4度C'!$A:$A,"新豐5線",'0703 4度C'!$B:$B,"平均")</f>
        <v>84.030607874145588</v>
      </c>
      <c r="G14" s="61">
        <f>SUMIFS('0703 4度C'!$N:$N,'0703 4度C'!$A:$A,"新豐7線",'0703 4度C'!$B:$B,"平均")</f>
        <v>115.644249644257</v>
      </c>
      <c r="H14" s="61">
        <f>SUMIFS('0703 4度C'!$N:$N,'0703 4度C'!$A:$A,"新豐3線",'0703 4度C'!$B:$B,"平均")</f>
        <v>286.26681255252697</v>
      </c>
      <c r="I14" s="61">
        <f>SUMIFS('0703 4度C'!$N:$N,'0703 4度C'!$A:$A,"新豐1線",'0703 4度C'!$B:$B,"平均")</f>
        <v>115.38100788100787</v>
      </c>
      <c r="J14" s="62">
        <f>SUMIFS('0703 4度C'!$N:$N,'0703 4度C'!$A:$A,"新豐10線",'0703 4度C'!$B:$B,"平均")</f>
        <v>310.61593402258097</v>
      </c>
      <c r="K14" s="63">
        <f>SUMIFS('0703 4度C'!$N:$N,'0703 4度C'!$A:$A,"新豐8線",'0703 4度C'!$B:$B,"平均")</f>
        <v>132.49821403489344</v>
      </c>
      <c r="L14" s="64">
        <f>SUMIFS('0703 4度C'!$N:$N,'0703 4度C'!$A:$A,"新豐9線",'0703 4度C'!$B:$B,"平均")</f>
        <v>118.68771804981083</v>
      </c>
      <c r="M14" s="62">
        <f>SUMIFS('0703 4度C'!$N:$N,'0703 4度C'!$A:$A,"新豐4線",'0703 4度C'!$B:$B,"平均")</f>
        <v>141.8805375958726</v>
      </c>
    </row>
    <row r="15" spans="2:17" ht="40.15" customHeight="1">
      <c r="B15" s="564"/>
      <c r="C15" s="65" t="s">
        <v>313</v>
      </c>
      <c r="D15" s="66">
        <f t="shared" ref="D15:M15" si="0">D14/D13</f>
        <v>0.96081896551724222</v>
      </c>
      <c r="E15" s="67">
        <f t="shared" si="0"/>
        <v>0.95399025912393087</v>
      </c>
      <c r="F15" s="67">
        <f t="shared" si="0"/>
        <v>0.95794892976525958</v>
      </c>
      <c r="G15" s="67">
        <f t="shared" si="0"/>
        <v>0.96370208036880844</v>
      </c>
      <c r="H15" s="67">
        <f t="shared" si="0"/>
        <v>0.95422270850842328</v>
      </c>
      <c r="I15" s="67">
        <f t="shared" si="0"/>
        <v>0.96425556586270877</v>
      </c>
      <c r="J15" s="68">
        <f t="shared" si="0"/>
        <v>0.95773246323629135</v>
      </c>
      <c r="K15" s="66">
        <f t="shared" si="0"/>
        <v>0.95693154580756357</v>
      </c>
      <c r="L15" s="67">
        <f t="shared" si="0"/>
        <v>0.95506523118207143</v>
      </c>
      <c r="M15" s="68">
        <f t="shared" si="0"/>
        <v>0.95769362877214004</v>
      </c>
    </row>
    <row r="16" spans="2:17" ht="17.25" customHeight="1">
      <c r="B16" s="565" t="s">
        <v>314</v>
      </c>
      <c r="C16" s="69" t="s">
        <v>315</v>
      </c>
      <c r="D16" s="70">
        <f>VLOOKUP("新豐6線",'0703 4度C'!$A:$T,19,0)</f>
        <v>0.70833333333333337</v>
      </c>
      <c r="E16" s="71">
        <f>VLOOKUP("新豐2線",'0703 4度C'!$A:$T,19,0)</f>
        <v>0.125</v>
      </c>
      <c r="F16" s="71">
        <f>VLOOKUP("新豐5線",'0703 4度C'!$A:$T,19,0)</f>
        <v>8.3333333333333329E-2</v>
      </c>
      <c r="G16" s="71">
        <f>VLOOKUP("新豐7線",'0703 4度C'!$A:$T,19,0)</f>
        <v>0.20833333333333334</v>
      </c>
      <c r="H16" s="71">
        <f>VLOOKUP("新豐3線",'0703 4度C'!$A:$T,19,0)</f>
        <v>0.20833333333333334</v>
      </c>
      <c r="I16" s="71">
        <f>VLOOKUP("新豐1線",'0703 4度C'!$A:$T,19,0)</f>
        <v>0.20833333333333334</v>
      </c>
      <c r="J16" s="72">
        <f>VLOOKUP("新豐10線",'0703 4度C'!$A:$T,19,0)</f>
        <v>0.20833333333333334</v>
      </c>
      <c r="K16" s="73">
        <f>VLOOKUP("新豐8線",'0703 4度C'!$A:$T,19,0)</f>
        <v>8.3333333333333329E-2</v>
      </c>
      <c r="L16" s="74">
        <f>VLOOKUP("新豐9線",'0703 4度C'!$A:$T,19,0)</f>
        <v>8.3333333333333329E-2</v>
      </c>
      <c r="M16" s="75">
        <f>VLOOKUP("新豐4線",'0703 4度C'!$A:$T,19,0)</f>
        <v>8.3333333333333329E-2</v>
      </c>
    </row>
    <row r="17" spans="2:13" ht="17.25" customHeight="1">
      <c r="B17" s="566"/>
      <c r="C17" s="69" t="s">
        <v>316</v>
      </c>
      <c r="D17" s="73">
        <f>LOOKUP(2,1/(('0703 4度C'!$A:$A="新豐6線")*('0703 4度C'!$T:$T&lt;&gt;"")),'0703 4度C'!$T:$T)</f>
        <v>0.79583333333333328</v>
      </c>
      <c r="E17" s="71">
        <f>LOOKUP(2,1/(('0703 4度C'!$A:$A="新豐2線")*('0703 4度C'!$T:$T&lt;&gt;"")),'0703 4度C'!$T:$T)</f>
        <v>0.58680555555555558</v>
      </c>
      <c r="F17" s="71">
        <f>LOOKUP(2,1/(('0703 4度C'!$A:$A="新豐5線")*('0703 4度C'!$T:$T&lt;&gt;"")),'0703 4度C'!$T:$T)</f>
        <v>0.76527777777777783</v>
      </c>
      <c r="G17" s="71">
        <f>LOOKUP(2,1/(('0703 4度C'!$A:$A="新豐7線")*('0703 4度C'!$T:$T&lt;&gt;"")),'0703 4度C'!$T:$T)</f>
        <v>0.80347222222222225</v>
      </c>
      <c r="H17" s="71">
        <f>LOOKUP(2,1/(('0703 4度C'!$A:$A="新豐3線")*('0703 4度C'!$T:$T&lt;&gt;"")),'0703 4度C'!$T:$T)</f>
        <v>0.38194444444444442</v>
      </c>
      <c r="I17" s="71">
        <f>LOOKUP(2,1/(('0703 4度C'!$A:$A="新豐1線")*('0703 4度C'!$T:$T&lt;&gt;"")),'0703 4度C'!$T:$T)</f>
        <v>0.81597222222222221</v>
      </c>
      <c r="J17" s="72">
        <f>LOOKUP(2,1/(('0703 4度C'!$A:$A="新豐10線")*('0703 4度C'!$T:$T&lt;&gt;"")),'0703 4度C'!$T:$T)</f>
        <v>0.36736111111111103</v>
      </c>
      <c r="K17" s="70">
        <f>LOOKUP(2,1/(('0703 4度C'!$A:$A="新豐8線")*('0703 4度C'!$T:$T&lt;&gt;"")),'0703 4度C'!$T:$T)</f>
        <v>0.58125000000000004</v>
      </c>
      <c r="L17" s="71">
        <f>LOOKUP(2,1/(('0703 4度C'!$A:$A="新豐9線")*('0703 4度C'!$T:$T&lt;&gt;"")),'0703 4度C'!$T:$T)</f>
        <v>0.61180555555555549</v>
      </c>
      <c r="M17" s="72">
        <f>LOOKUP(2,1/(('0703 4度C'!$A:$A="新豐4線")*('0703 4度C'!$T:$T&lt;&gt;"")),'0703 4度C'!$T:$T)</f>
        <v>0.44513888888888886</v>
      </c>
    </row>
    <row r="18" spans="2:13" ht="17.25" customHeight="1">
      <c r="B18" s="544" t="s">
        <v>317</v>
      </c>
      <c r="C18" s="76" t="s">
        <v>318</v>
      </c>
      <c r="D18" s="77">
        <f>SUMIFS('0703 4度C'!$Y:$Y,'0703 4度C'!$A:$A,"新豐6線",'0703 4度C'!$B:$B,"平均")</f>
        <v>0</v>
      </c>
      <c r="E18" s="78">
        <f>SUMIFS('0703 4度C'!$Y:$Y,'0703 4度C'!$A:$A,"新豐2線",'0703 4度C'!$B:$B,"平均")</f>
        <v>0</v>
      </c>
      <c r="F18" s="78">
        <f>SUMIFS('0703 4度C'!$Y:$Y,'0703 4度C'!$A:$A,"新豐5線",'0703 4度C'!$B:$B,"平均")</f>
        <v>0</v>
      </c>
      <c r="G18" s="78">
        <f>SUMIFS('0703 4度C'!$Y:$Y,'0703 4度C'!$A:$A,"新豐7線",'0703 4度C'!$B:$B,"平均")</f>
        <v>0</v>
      </c>
      <c r="H18" s="78">
        <f>SUMIFS('0703 4度C'!$Y:$Y,'0703 4度C'!$A:$A,"新豐3線",'0703 4度C'!$B:$B,"平均")</f>
        <v>0</v>
      </c>
      <c r="I18" s="78">
        <f>SUMIFS('0703 4度C'!$Y:$Y,'0703 4度C'!$A:$A,"新豐1線",'0703 4度C'!$B:$B,"平均")</f>
        <v>0</v>
      </c>
      <c r="J18" s="79">
        <f>SUMIFS('0703 4度C'!$Y:$Y,'0703 4度C'!$A:$A,"新豐10線",'0703 4度C'!$B:$B,"平均")</f>
        <v>0</v>
      </c>
      <c r="K18" s="80">
        <f>SUMIFS('0703 4度C'!$Y:$Y,'0703 4度C'!$A:$A,"新豐8線",'0703 4度C'!$B:$B,"平均")</f>
        <v>0</v>
      </c>
      <c r="L18" s="78">
        <f>SUMIFS('0703 4度C'!$Y:$Y,'0703 4度C'!$A:$A,"新豐9線",'0703 4度C'!$B:$B,"平均")</f>
        <v>0</v>
      </c>
      <c r="M18" s="79">
        <f>SUMIFS('0703 4度C'!$Y:$Y,'0703 4度C'!$A:$A,"新豐4線",'0703 4度C'!$B:$B,"平均")</f>
        <v>0</v>
      </c>
    </row>
    <row r="19" spans="2:13" ht="17.25" customHeight="1">
      <c r="B19" s="545"/>
      <c r="C19" s="76" t="s">
        <v>319</v>
      </c>
      <c r="D19" s="77">
        <f>SUMIFS('0703 4度C'!$Z:$Z,'0703 4度C'!$A:$A,"新豐6線",'0703 4度C'!$B:$B,"平均")</f>
        <v>0</v>
      </c>
      <c r="E19" s="78">
        <f>SUMIFS('0703 4度C'!$Z:$Z,'0703 4度C'!$A:$A,"新豐2線",'0703 4度C'!$B:$B,"平均")</f>
        <v>0</v>
      </c>
      <c r="F19" s="78">
        <f>SUMIFS('0703 4度C'!$Z:$Z,'0703 4度C'!$A:$A,"新豐5線",'0703 4度C'!$B:$B,"平均")</f>
        <v>0</v>
      </c>
      <c r="G19" s="78">
        <f>SUMIFS('0703 4度C'!$Z:$Z,'0703 4度C'!$A:$A,"新豐7線",'0703 4度C'!$B:$B,"平均")</f>
        <v>0</v>
      </c>
      <c r="H19" s="78">
        <f>SUMIFS('0703 4度C'!$Z:$Z,'0703 4度C'!$A:$A,"新豐3線",'0703 4度C'!$B:$B,"平均")</f>
        <v>0</v>
      </c>
      <c r="I19" s="78">
        <f>SUMIFS('0703 4度C'!$Z:$Z,'0703 4度C'!$A:$A,"新豐1線",'0703 4度C'!$B:$B,"平均")</f>
        <v>0</v>
      </c>
      <c r="J19" s="79">
        <f>SUMIFS('0703 4度C'!$Z:$Z,'0703 4度C'!$A:$A,"新豐10線",'0703 4度C'!$B:$B,"平均")</f>
        <v>0</v>
      </c>
      <c r="K19" s="80">
        <f>SUMIFS('0703 4度C'!$Z:$Z,'0703 4度C'!$A:$A,"新豐8線",'0703 4度C'!$B:$B,"平均")</f>
        <v>0</v>
      </c>
      <c r="L19" s="78">
        <f>SUMIFS('0703 4度C'!$Z:$Z,'0703 4度C'!$A:$A,"新豐9線",'0703 4度C'!$B:$B,"平均")</f>
        <v>0</v>
      </c>
      <c r="M19" s="79">
        <f>SUMIFS('0703 4度C'!$Z:$Z,'0703 4度C'!$A:$A,"新豐4線",'0703 4度C'!$B:$B,"平均")</f>
        <v>0</v>
      </c>
    </row>
    <row r="20" spans="2:13" ht="17.25" customHeight="1">
      <c r="B20" s="544" t="s">
        <v>320</v>
      </c>
      <c r="C20" s="76" t="s">
        <v>318</v>
      </c>
      <c r="D20" s="77">
        <f>SUMIFS('0703 4度C'!$AC:$AC,'0703 4度C'!$A:$A,"新豐6線",'0703 4度C'!$B:$B,"平均")</f>
        <v>2</v>
      </c>
      <c r="E20" s="78">
        <f>SUMIFS('0703 4度C'!$AC:$AC,'0703 4度C'!$A:$A,"新豐2線",'0703 4度C'!$B:$B,"平均")</f>
        <v>4</v>
      </c>
      <c r="F20" s="78">
        <f>SUMIFS('0703 4度C'!$AC:$AC,'0703 4度C'!$A:$A,"新豐5線",'0703 4度C'!$B:$B,"平均")</f>
        <v>6</v>
      </c>
      <c r="G20" s="78">
        <f>SUMIFS('0703 4度C'!$AC:$AC,'0703 4度C'!$A:$A,"新豐7線",'0703 4度C'!$B:$B,"平均")</f>
        <v>6</v>
      </c>
      <c r="H20" s="78">
        <f>SUMIFS('0703 4度C'!$AC:$AC,'0703 4度C'!$A:$A,"新豐3線",'0703 4度C'!$B:$B,"平均")</f>
        <v>3</v>
      </c>
      <c r="I20" s="78">
        <f>SUMIFS('0703 4度C'!$AC:$AC,'0703 4度C'!$A:$A,"新豐1線",'0703 4度C'!$B:$B,"平均")</f>
        <v>7</v>
      </c>
      <c r="J20" s="79">
        <f>SUMIFS('0703 4度C'!$AC:$AC,'0703 4度C'!$A:$A,"新豐10線",'0703 4度C'!$B:$B,"平均")</f>
        <v>4</v>
      </c>
      <c r="K20" s="80">
        <f>SUMIFS('0703 4度C'!$AC:$AC,'0703 4度C'!$A:$A,"新豐8線",'0703 4度C'!$B:$B,"平均")</f>
        <v>6</v>
      </c>
      <c r="L20" s="78">
        <f>SUMIFS('0703 4度C'!$AC:$AC,'0703 4度C'!$A:$A,"新豐9線",'0703 4度C'!$B:$B,"平均")</f>
        <v>6</v>
      </c>
      <c r="M20" s="79">
        <f>SUMIFS('0703 4度C'!$AC:$AC,'0703 4度C'!$A:$A,"新豐4線",'0703 4度C'!$B:$B,"平均")</f>
        <v>5</v>
      </c>
    </row>
    <row r="21" spans="2:13" ht="17.25" customHeight="1">
      <c r="B21" s="545"/>
      <c r="C21" s="76" t="s">
        <v>321</v>
      </c>
      <c r="D21" s="77">
        <f>SUMIFS('0703 4度C'!$AD:$AD,'0703 4度C'!$A:$A,"新豐6線",'0703 4度C'!$B:$B,"平均")</f>
        <v>0</v>
      </c>
      <c r="E21" s="78">
        <f>SUMIFS('0703 4度C'!$AD:$AD,'0703 4度C'!$A:$A,"新豐2線",'0703 4度C'!$B:$B,"平均")</f>
        <v>0</v>
      </c>
      <c r="F21" s="78">
        <f>SUMIFS('0703 4度C'!$AD:$AD,'0703 4度C'!$A:$A,"新豐5線",'0703 4度C'!$B:$B,"平均")</f>
        <v>0</v>
      </c>
      <c r="G21" s="78">
        <f>SUMIFS('0703 4度C'!$AD:$AD,'0703 4度C'!$A:$A,"新豐7線",'0703 4度C'!$B:$B,"平均")</f>
        <v>0</v>
      </c>
      <c r="H21" s="78">
        <f>SUMIFS('0703 4度C'!$AD:$AD,'0703 4度C'!$A:$A,"新豐3線",'0703 4度C'!$B:$B,"平均")</f>
        <v>0</v>
      </c>
      <c r="I21" s="78">
        <f>SUMIFS('0703 4度C'!$AD:$AD,'0703 4度C'!$A:$A,"新豐1線",'0703 4度C'!$B:$B,"平均")</f>
        <v>0</v>
      </c>
      <c r="J21" s="79">
        <f>SUMIFS('0703 4度C'!$AD:$AD,'0703 4度C'!$A:$A,"新豐10線",'0703 4度C'!$B:$B,"平均")</f>
        <v>0</v>
      </c>
      <c r="K21" s="80">
        <f>SUMIFS('0703 4度C'!$AD:$AD,'0703 4度C'!$A:$A,"新豐8線",'0703 4度C'!$B:$B,"平均")</f>
        <v>0</v>
      </c>
      <c r="L21" s="78">
        <f>SUMIFS('0703 4度C'!$AD:$AD,'0703 4度C'!$A:$A,"新豐9線",'0703 4度C'!$B:$B,"平均")</f>
        <v>0</v>
      </c>
      <c r="M21" s="79">
        <f>SUMIFS('0703 4度C'!$AD:$AD,'0703 4度C'!$A:$A,"新豐4線",'0703 4度C'!$B:$B,"平均")</f>
        <v>0</v>
      </c>
    </row>
    <row r="22" spans="2:13" ht="17.25" customHeight="1">
      <c r="B22" s="546" t="s">
        <v>322</v>
      </c>
      <c r="C22" s="547"/>
      <c r="D22" s="81">
        <f>SUMIFS('0703 4度C'!$I:$I,'0703 4度C'!$A:$A,"新豐6線",'0703 4度C'!$B:$B,"平均")</f>
        <v>15.5</v>
      </c>
      <c r="E22" s="82">
        <f>SUMIFS('0703 4度C'!$I:$I,'0703 4度C'!$A:$A,"新豐2線",'0703 4度C'!$B:$B,"平均")</f>
        <v>17</v>
      </c>
      <c r="F22" s="82">
        <f>SUMIFS('0703 4度C'!$I:$I,'0703 4度C'!$A:$A,"新豐5線",'0703 4度C'!$B:$B,"平均")</f>
        <v>19</v>
      </c>
      <c r="G22" s="82">
        <f>SUMIFS('0703 4度C'!$I:$I,'0703 4度C'!$A:$A,"新豐7線",'0703 4度C'!$B:$B,"平均")</f>
        <v>16.666666666666668</v>
      </c>
      <c r="H22" s="82">
        <f>SUMIFS('0703 4度C'!$I:$I,'0703 4度C'!$A:$A,"新豐3線",'0703 4度C'!$B:$B,"平均")</f>
        <v>10</v>
      </c>
      <c r="I22" s="82">
        <f>SUMIFS('0703 4度C'!$I:$I,'0703 4度C'!$A:$A,"新豐1線",'0703 4度C'!$B:$B,"平均")</f>
        <v>16.714285714285715</v>
      </c>
      <c r="J22" s="83">
        <f>SUMIFS('0703 4度C'!$I:$I,'0703 4度C'!$A:$A,"新豐10線",'0703 4度C'!$B:$B,"平均")</f>
        <v>9.25</v>
      </c>
      <c r="K22" s="81">
        <f>SUMIFS('0703 4度C'!$I:$I,'0703 4度C'!$A:$A,"新豐8線",'0703 4度C'!$B:$B,"平均")</f>
        <v>17.333333333333332</v>
      </c>
      <c r="L22" s="82">
        <f>SUMIFS('0703 4度C'!$I:$I,'0703 4度C'!$A:$A,"新豐9線",'0703 4度C'!$B:$B,"平均")</f>
        <v>17.166666666666668</v>
      </c>
      <c r="M22" s="83">
        <f>SUMIFS('0703 4度C'!$I:$I,'0703 4度C'!$A:$A,"新豐4線",'0703 4度C'!$B:$B,"平均")</f>
        <v>16.2</v>
      </c>
    </row>
    <row r="23" spans="2:13" ht="17.25" customHeight="1">
      <c r="B23" s="546" t="s">
        <v>323</v>
      </c>
      <c r="C23" s="547"/>
      <c r="D23" s="84" t="s">
        <v>54</v>
      </c>
      <c r="E23" s="85" t="s">
        <v>55</v>
      </c>
      <c r="F23" s="85" t="s">
        <v>324</v>
      </c>
      <c r="G23" s="85" t="s">
        <v>324</v>
      </c>
      <c r="H23" s="85" t="s">
        <v>56</v>
      </c>
      <c r="I23" s="85" t="s">
        <v>54</v>
      </c>
      <c r="J23" s="86" t="s">
        <v>56</v>
      </c>
      <c r="K23" s="84" t="s">
        <v>325</v>
      </c>
      <c r="L23" s="85" t="s">
        <v>325</v>
      </c>
      <c r="M23" s="86" t="s">
        <v>325</v>
      </c>
    </row>
    <row r="24" spans="2:13" ht="17.25" customHeight="1">
      <c r="B24" s="546" t="s">
        <v>326</v>
      </c>
      <c r="C24" s="547"/>
      <c r="D24" s="84"/>
      <c r="E24" s="85"/>
      <c r="F24" s="85" t="s">
        <v>327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328</v>
      </c>
      <c r="C25" s="549"/>
      <c r="D25" s="87"/>
      <c r="E25" s="88" t="s">
        <v>329</v>
      </c>
      <c r="F25" s="542" t="s">
        <v>330</v>
      </c>
      <c r="G25" s="543"/>
      <c r="H25" s="88" t="s">
        <v>331</v>
      </c>
      <c r="I25" s="88" t="s">
        <v>332</v>
      </c>
      <c r="J25" s="89" t="s">
        <v>331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3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4"/>
  <sheetViews>
    <sheetView zoomScale="80" zoomScaleNormal="80" workbookViewId="0">
      <pane ySplit="4" topLeftCell="A5" activePane="bottomLeft" state="frozen"/>
      <selection activeCell="M6" sqref="M6:M8"/>
      <selection pane="bottomLeft" activeCell="M6" sqref="M6:M8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333</v>
      </c>
      <c r="B1" s="1"/>
      <c r="C1" s="2" t="s">
        <v>334</v>
      </c>
      <c r="D1" s="3">
        <f>SUM(F5:F63)</f>
        <v>137826</v>
      </c>
      <c r="E1" s="124" t="s">
        <v>335</v>
      </c>
      <c r="F1" s="1">
        <f>SUM(G5:G63)</f>
        <v>4689379.5199999986</v>
      </c>
      <c r="G1" s="1" t="s">
        <v>336</v>
      </c>
      <c r="H1" s="4">
        <f>L7+L12+L44+L52+L19+L57+L33+L40+L26+L63</f>
        <v>154.83095238095237</v>
      </c>
      <c r="I1" s="654" t="s">
        <v>337</v>
      </c>
      <c r="J1" s="654"/>
      <c r="K1" s="654"/>
      <c r="L1" s="654" t="s">
        <v>338</v>
      </c>
      <c r="M1" s="654"/>
      <c r="N1" s="654"/>
      <c r="O1" s="654" t="s">
        <v>339</v>
      </c>
      <c r="P1" s="654"/>
      <c r="Q1" s="654"/>
      <c r="R1" s="654"/>
      <c r="S1" s="654" t="s">
        <v>340</v>
      </c>
      <c r="T1" s="654"/>
      <c r="U1" s="654"/>
      <c r="V1" s="654"/>
      <c r="W1" s="654"/>
      <c r="X1" s="654"/>
      <c r="Y1" s="5" t="s">
        <v>341</v>
      </c>
      <c r="Z1" s="6" t="s">
        <v>342</v>
      </c>
      <c r="AA1" s="655" t="s">
        <v>343</v>
      </c>
      <c r="AB1" s="655"/>
      <c r="AC1" s="134" t="s">
        <v>341</v>
      </c>
      <c r="AD1" s="6" t="s">
        <v>344</v>
      </c>
      <c r="AE1" s="654" t="s">
        <v>345</v>
      </c>
      <c r="AF1" s="656"/>
      <c r="AG1" s="656"/>
    </row>
    <row r="2" spans="1:33" ht="26.25" customHeight="1">
      <c r="A2" s="25">
        <v>46206</v>
      </c>
      <c r="B2" s="26" t="s">
        <v>346</v>
      </c>
      <c r="C2" s="2" t="s">
        <v>107</v>
      </c>
      <c r="D2" s="8">
        <f>AVERAGE(N7,N12,N44,N52,N19,N57,N26,N33,N40,N63)</f>
        <v>151.31573334661678</v>
      </c>
      <c r="E2" s="9" t="s">
        <v>0</v>
      </c>
      <c r="F2" s="10">
        <f>F1/D1</f>
        <v>34.023910728019374</v>
      </c>
      <c r="G2" s="1" t="s">
        <v>347</v>
      </c>
      <c r="H2" s="133">
        <f>COUNT(H5:H63)</f>
        <v>3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SUM(Y7+Y12+Y19+Y26+Y33+Y40+Y44+Y52+Y57+Y63)</f>
        <v>0</v>
      </c>
      <c r="Z2" s="11">
        <f>SUM(Z7+Z12+Z19+Z26+Z33+Z40+Z44+Z52+Z57+Z63)</f>
        <v>0</v>
      </c>
      <c r="AA2" s="655"/>
      <c r="AB2" s="655"/>
      <c r="AC2" s="135">
        <v>49</v>
      </c>
      <c r="AD2" s="11">
        <f>SUM(AD7+AD12+AD19+AD26+AD33+AD40+AD44+AD52+AD57+AD63)</f>
        <v>0</v>
      </c>
      <c r="AE2" s="656"/>
      <c r="AF2" s="656"/>
      <c r="AG2" s="656"/>
    </row>
    <row r="3" spans="1:33" ht="40.5" customHeight="1">
      <c r="A3" s="612" t="s">
        <v>348</v>
      </c>
      <c r="B3" s="612" t="s">
        <v>349</v>
      </c>
      <c r="C3" s="612" t="s">
        <v>350</v>
      </c>
      <c r="D3" s="612"/>
      <c r="E3" s="652" t="s">
        <v>351</v>
      </c>
      <c r="F3" s="612" t="s">
        <v>352</v>
      </c>
      <c r="G3" s="652" t="s">
        <v>353</v>
      </c>
      <c r="H3" s="645" t="s">
        <v>354</v>
      </c>
      <c r="I3" s="644" t="s">
        <v>78</v>
      </c>
      <c r="J3" s="641" t="s">
        <v>355</v>
      </c>
      <c r="K3" s="650" t="s">
        <v>107</v>
      </c>
      <c r="L3" s="644" t="s">
        <v>78</v>
      </c>
      <c r="M3" s="641" t="s">
        <v>355</v>
      </c>
      <c r="N3" s="650" t="s">
        <v>107</v>
      </c>
      <c r="O3" s="644" t="s">
        <v>78</v>
      </c>
      <c r="P3" s="650" t="s">
        <v>107</v>
      </c>
      <c r="Q3" s="642" t="s">
        <v>356</v>
      </c>
      <c r="R3" s="621" t="s">
        <v>357</v>
      </c>
      <c r="S3" s="651" t="s">
        <v>1</v>
      </c>
      <c r="T3" s="651"/>
      <c r="U3" s="645" t="s">
        <v>2</v>
      </c>
      <c r="V3" s="645" t="s">
        <v>358</v>
      </c>
      <c r="W3" s="612" t="s">
        <v>359</v>
      </c>
      <c r="X3" s="612"/>
      <c r="Y3" s="646" t="s">
        <v>360</v>
      </c>
      <c r="Z3" s="611"/>
      <c r="AA3" s="647" t="s">
        <v>361</v>
      </c>
      <c r="AB3" s="648"/>
      <c r="AC3" s="646" t="s">
        <v>362</v>
      </c>
      <c r="AD3" s="611"/>
      <c r="AE3" s="641" t="s">
        <v>355</v>
      </c>
      <c r="AF3" s="642" t="s">
        <v>356</v>
      </c>
      <c r="AG3" s="621" t="s">
        <v>357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32" t="s">
        <v>3</v>
      </c>
      <c r="T4" s="132" t="s">
        <v>4</v>
      </c>
      <c r="U4" s="645"/>
      <c r="V4" s="645"/>
      <c r="W4" s="124" t="s">
        <v>363</v>
      </c>
      <c r="X4" s="124" t="s">
        <v>364</v>
      </c>
      <c r="Y4" s="122" t="s">
        <v>68</v>
      </c>
      <c r="Z4" s="122" t="s">
        <v>365</v>
      </c>
      <c r="AA4" s="649"/>
      <c r="AB4" s="648"/>
      <c r="AC4" s="122" t="s">
        <v>366</v>
      </c>
      <c r="AD4" s="122" t="s">
        <v>367</v>
      </c>
      <c r="AE4" s="641"/>
      <c r="AF4" s="642"/>
      <c r="AG4" s="621"/>
    </row>
    <row r="5" spans="1:33">
      <c r="A5" s="643" t="s">
        <v>368</v>
      </c>
      <c r="B5" s="27" t="s">
        <v>5</v>
      </c>
      <c r="C5" s="657" t="s">
        <v>14</v>
      </c>
      <c r="D5" s="657"/>
      <c r="E5" s="27">
        <v>50.92</v>
      </c>
      <c r="F5" s="132">
        <v>1915</v>
      </c>
      <c r="G5" s="124">
        <f t="shared" ref="G5:G6" si="0">E5*F5</f>
        <v>97511.8</v>
      </c>
      <c r="H5" s="31"/>
      <c r="I5" s="130">
        <v>15</v>
      </c>
      <c r="J5" s="29">
        <v>2000</v>
      </c>
      <c r="K5" s="12">
        <f t="shared" ref="K5:K63" si="1">J5/I5</f>
        <v>133.33333333333334</v>
      </c>
      <c r="L5" s="130">
        <v>15</v>
      </c>
      <c r="M5" s="13">
        <f t="shared" ref="M5:M6" si="2">F5/V5*60</f>
        <v>1915.0000000000018</v>
      </c>
      <c r="N5" s="12">
        <f t="shared" ref="N5:N63" si="3">M5/L5</f>
        <v>127.66666666666679</v>
      </c>
      <c r="O5" s="14">
        <f t="shared" ref="O5:O63" si="4">L5-I5</f>
        <v>0</v>
      </c>
      <c r="P5" s="15">
        <f t="shared" ref="P5:P63" si="5">N5-K5</f>
        <v>-5.6666666666665577</v>
      </c>
      <c r="Q5" s="123">
        <f t="shared" ref="Q5:Q63" si="6">N5/K5</f>
        <v>0.95750000000000079</v>
      </c>
      <c r="R5" s="616">
        <f>Q7</f>
        <v>0.96081896551724222</v>
      </c>
      <c r="S5" s="32">
        <v>0.70833333333333337</v>
      </c>
      <c r="T5" s="32">
        <v>0.75</v>
      </c>
      <c r="U5" s="124"/>
      <c r="V5" s="131">
        <f t="shared" ref="V5:V6" si="7">(T5-S5)*24*60</f>
        <v>59.999999999999943</v>
      </c>
      <c r="W5" s="16"/>
      <c r="X5" s="17"/>
      <c r="Y5" s="17"/>
      <c r="Z5" s="17"/>
      <c r="AA5" s="612"/>
      <c r="AB5" s="612"/>
      <c r="AC5" s="136">
        <v>2</v>
      </c>
      <c r="AD5" s="18"/>
      <c r="AE5" s="14">
        <f t="shared" ref="AE5:AE51" si="8">M5-J5</f>
        <v>-84.999999999998181</v>
      </c>
      <c r="AF5" s="123">
        <f t="shared" ref="AF5:AF63" si="9">M5/J5</f>
        <v>0.95750000000000091</v>
      </c>
      <c r="AG5" s="616">
        <f>AF7</f>
        <v>0.96081896551724222</v>
      </c>
    </row>
    <row r="6" spans="1:33">
      <c r="A6" s="644" t="s">
        <v>368</v>
      </c>
      <c r="B6" s="27" t="s">
        <v>5</v>
      </c>
      <c r="C6" s="657" t="s">
        <v>19</v>
      </c>
      <c r="D6" s="657"/>
      <c r="E6" s="27">
        <v>50.98</v>
      </c>
      <c r="F6" s="132">
        <v>1864</v>
      </c>
      <c r="G6" s="124">
        <f t="shared" si="0"/>
        <v>95026.72</v>
      </c>
      <c r="H6" s="31"/>
      <c r="I6" s="130">
        <v>16</v>
      </c>
      <c r="J6" s="29">
        <v>2000</v>
      </c>
      <c r="K6" s="12">
        <f t="shared" si="1"/>
        <v>125</v>
      </c>
      <c r="L6" s="130">
        <v>16</v>
      </c>
      <c r="M6" s="13">
        <f t="shared" si="2"/>
        <v>1928.2758620689669</v>
      </c>
      <c r="N6" s="12">
        <f t="shared" si="3"/>
        <v>120.51724137931043</v>
      </c>
      <c r="O6" s="14">
        <f t="shared" si="4"/>
        <v>0</v>
      </c>
      <c r="P6" s="15">
        <f t="shared" si="5"/>
        <v>-4.482758620689566</v>
      </c>
      <c r="Q6" s="123">
        <f t="shared" si="6"/>
        <v>0.96413793103448342</v>
      </c>
      <c r="R6" s="616"/>
      <c r="S6" s="32">
        <v>0.75555555555555554</v>
      </c>
      <c r="T6" s="32">
        <v>0.79583333333333328</v>
      </c>
      <c r="U6" s="124">
        <f t="shared" ref="U6" si="10">IF(S6=TIME(17,0,0),"",(S6-T5)*24*60)</f>
        <v>7.9999999999999716</v>
      </c>
      <c r="V6" s="131">
        <f t="shared" si="7"/>
        <v>57.999999999999957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-71.724137931033056</v>
      </c>
      <c r="AF6" s="123">
        <f t="shared" si="9"/>
        <v>0.96413793103448342</v>
      </c>
      <c r="AG6" s="616"/>
    </row>
    <row r="7" spans="1:33">
      <c r="A7" s="644" t="s">
        <v>368</v>
      </c>
      <c r="B7" s="27" t="s">
        <v>70</v>
      </c>
      <c r="C7" s="658"/>
      <c r="D7" s="658"/>
      <c r="E7" s="125"/>
      <c r="F7" s="28"/>
      <c r="G7" s="12"/>
      <c r="H7" s="132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1921.6379310344844</v>
      </c>
      <c r="N7" s="12">
        <f t="shared" si="3"/>
        <v>123.97664071190222</v>
      </c>
      <c r="O7" s="14">
        <f t="shared" si="4"/>
        <v>0</v>
      </c>
      <c r="P7" s="15">
        <f t="shared" si="5"/>
        <v>-5.0556173526139077</v>
      </c>
      <c r="Q7" s="123">
        <f t="shared" si="6"/>
        <v>0.96081896551724222</v>
      </c>
      <c r="R7" s="616"/>
      <c r="S7" s="32"/>
      <c r="T7" s="32"/>
      <c r="U7" s="124"/>
      <c r="V7" s="131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-78.362068965515618</v>
      </c>
      <c r="AF7" s="123">
        <f t="shared" si="9"/>
        <v>0.96081896551724222</v>
      </c>
      <c r="AG7" s="616"/>
    </row>
    <row r="8" spans="1:33" ht="15.75" customHeight="1">
      <c r="A8" s="640" t="s">
        <v>369</v>
      </c>
      <c r="B8" s="27" t="s">
        <v>8</v>
      </c>
      <c r="C8" s="638" t="s">
        <v>9</v>
      </c>
      <c r="D8" s="639"/>
      <c r="E8" s="27">
        <v>39.619999999999997</v>
      </c>
      <c r="F8" s="132">
        <v>4038</v>
      </c>
      <c r="G8" s="124">
        <f t="shared" ref="G8:G11" si="11">E8*F8</f>
        <v>159985.56</v>
      </c>
      <c r="H8" s="31"/>
      <c r="I8" s="130">
        <v>19</v>
      </c>
      <c r="J8" s="29">
        <v>1500</v>
      </c>
      <c r="K8" s="12">
        <f t="shared" si="1"/>
        <v>78.94736842105263</v>
      </c>
      <c r="L8" s="130">
        <v>19</v>
      </c>
      <c r="M8" s="13">
        <f t="shared" ref="M8:M11" si="12">F8/V8*60</f>
        <v>1425.1764705882351</v>
      </c>
      <c r="N8" s="12">
        <f t="shared" si="3"/>
        <v>75.009287925696583</v>
      </c>
      <c r="O8" s="14">
        <f t="shared" si="4"/>
        <v>0</v>
      </c>
      <c r="P8" s="15">
        <f t="shared" si="5"/>
        <v>-3.9380804953560471</v>
      </c>
      <c r="Q8" s="123">
        <f t="shared" si="6"/>
        <v>0.9501176470588234</v>
      </c>
      <c r="R8" s="616">
        <f>Q12</f>
        <v>0.95399025912393087</v>
      </c>
      <c r="S8" s="32">
        <v>0.125</v>
      </c>
      <c r="T8" s="32">
        <v>0.24305555555555558</v>
      </c>
      <c r="U8" s="124"/>
      <c r="V8" s="131">
        <f t="shared" ref="V8:V11" si="13">(T8-S8)*24*60</f>
        <v>170.00000000000003</v>
      </c>
      <c r="W8" s="16">
        <f>T8</f>
        <v>0.24305555555555558</v>
      </c>
      <c r="X8" s="16">
        <f>S9</f>
        <v>0.2638888888888889</v>
      </c>
      <c r="Y8" s="16"/>
      <c r="Z8" s="16"/>
      <c r="AA8" s="612"/>
      <c r="AB8" s="612"/>
      <c r="AC8" s="136">
        <v>4</v>
      </c>
      <c r="AD8" s="18"/>
      <c r="AE8" s="14">
        <f t="shared" si="8"/>
        <v>-74.823529411764866</v>
      </c>
      <c r="AF8" s="123">
        <f t="shared" si="9"/>
        <v>0.9501176470588234</v>
      </c>
      <c r="AG8" s="616">
        <f>AF12</f>
        <v>0.95399025912393076</v>
      </c>
    </row>
    <row r="9" spans="1:33" ht="15.75" customHeight="1">
      <c r="A9" s="640" t="s">
        <v>370</v>
      </c>
      <c r="B9" s="27" t="s">
        <v>8</v>
      </c>
      <c r="C9" s="638" t="s">
        <v>63</v>
      </c>
      <c r="D9" s="639"/>
      <c r="E9" s="27">
        <v>39.46</v>
      </c>
      <c r="F9" s="132">
        <v>3647</v>
      </c>
      <c r="G9" s="124">
        <f t="shared" si="11"/>
        <v>143910.62</v>
      </c>
      <c r="H9" s="31"/>
      <c r="I9" s="130">
        <v>15</v>
      </c>
      <c r="J9" s="29">
        <v>1500</v>
      </c>
      <c r="K9" s="12">
        <f t="shared" si="1"/>
        <v>100</v>
      </c>
      <c r="L9" s="130">
        <v>15</v>
      </c>
      <c r="M9" s="13">
        <f t="shared" si="12"/>
        <v>1430.1960784313724</v>
      </c>
      <c r="N9" s="12">
        <f t="shared" si="3"/>
        <v>95.346405228758158</v>
      </c>
      <c r="O9" s="14">
        <f t="shared" si="4"/>
        <v>0</v>
      </c>
      <c r="P9" s="15">
        <f t="shared" si="5"/>
        <v>-4.653594771241842</v>
      </c>
      <c r="Q9" s="123">
        <f t="shared" si="6"/>
        <v>0.95346405228758158</v>
      </c>
      <c r="R9" s="616"/>
      <c r="S9" s="32">
        <v>0.2638888888888889</v>
      </c>
      <c r="T9" s="32">
        <v>0.37013888888888891</v>
      </c>
      <c r="U9" s="124">
        <f t="shared" ref="U9:U11" si="14">IF(S9=TIME(17,0,0),"",(S9-T8)*24*60)</f>
        <v>29.999999999999972</v>
      </c>
      <c r="V9" s="131">
        <f t="shared" si="13"/>
        <v>153.00000000000003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-69.803921568627629</v>
      </c>
      <c r="AF9" s="123">
        <f t="shared" si="9"/>
        <v>0.95346405228758158</v>
      </c>
      <c r="AG9" s="616"/>
    </row>
    <row r="10" spans="1:33" ht="15.75" customHeight="1">
      <c r="A10" s="640" t="s">
        <v>370</v>
      </c>
      <c r="B10" s="27" t="s">
        <v>8</v>
      </c>
      <c r="C10" s="638" t="s">
        <v>10</v>
      </c>
      <c r="D10" s="639"/>
      <c r="E10" s="27">
        <v>39.799999999999997</v>
      </c>
      <c r="F10" s="132">
        <v>3800</v>
      </c>
      <c r="G10" s="124">
        <f t="shared" si="11"/>
        <v>151240</v>
      </c>
      <c r="H10" s="31">
        <v>2</v>
      </c>
      <c r="I10" s="130">
        <v>17</v>
      </c>
      <c r="J10" s="29">
        <v>1500</v>
      </c>
      <c r="K10" s="12">
        <f t="shared" si="1"/>
        <v>88.235294117647058</v>
      </c>
      <c r="L10" s="130">
        <v>17</v>
      </c>
      <c r="M10" s="13">
        <f t="shared" si="12"/>
        <v>1433.9622641509434</v>
      </c>
      <c r="N10" s="12">
        <f t="shared" si="3"/>
        <v>84.350721420643723</v>
      </c>
      <c r="O10" s="14">
        <f t="shared" si="4"/>
        <v>0</v>
      </c>
      <c r="P10" s="15">
        <f t="shared" si="5"/>
        <v>-3.8845726970033354</v>
      </c>
      <c r="Q10" s="123">
        <f t="shared" si="6"/>
        <v>0.9559748427672955</v>
      </c>
      <c r="R10" s="616"/>
      <c r="S10" s="32">
        <v>0.37430555555555556</v>
      </c>
      <c r="T10" s="32">
        <v>0.48472222222222222</v>
      </c>
      <c r="U10" s="124">
        <f t="shared" si="14"/>
        <v>5.9999999999999787</v>
      </c>
      <c r="V10" s="131">
        <f t="shared" si="13"/>
        <v>159</v>
      </c>
      <c r="W10" s="16">
        <f>T10</f>
        <v>0.48472222222222222</v>
      </c>
      <c r="X10" s="16">
        <f>S11</f>
        <v>0.52500000000000002</v>
      </c>
      <c r="Y10" s="16"/>
      <c r="Z10" s="16"/>
      <c r="AA10" s="612"/>
      <c r="AB10" s="612"/>
      <c r="AC10" s="136"/>
      <c r="AD10" s="18"/>
      <c r="AE10" s="14">
        <f t="shared" si="8"/>
        <v>-66.037735849056617</v>
      </c>
      <c r="AF10" s="123">
        <f t="shared" si="9"/>
        <v>0.95597484276729561</v>
      </c>
      <c r="AG10" s="616"/>
    </row>
    <row r="11" spans="1:33" ht="15.75" customHeight="1">
      <c r="A11" s="640" t="s">
        <v>370</v>
      </c>
      <c r="B11" s="27" t="s">
        <v>8</v>
      </c>
      <c r="C11" s="638" t="s">
        <v>10</v>
      </c>
      <c r="D11" s="639"/>
      <c r="E11" s="27">
        <v>39.799999999999997</v>
      </c>
      <c r="F11" s="132">
        <v>2128</v>
      </c>
      <c r="G11" s="124">
        <f t="shared" si="11"/>
        <v>84694.399999999994</v>
      </c>
      <c r="H11" s="31"/>
      <c r="I11" s="130">
        <v>17</v>
      </c>
      <c r="J11" s="29">
        <v>1500</v>
      </c>
      <c r="K11" s="12">
        <f t="shared" si="1"/>
        <v>88.235294117647058</v>
      </c>
      <c r="L11" s="130">
        <v>17</v>
      </c>
      <c r="M11" s="13">
        <f t="shared" si="12"/>
        <v>1434.6067415730338</v>
      </c>
      <c r="N11" s="12">
        <f t="shared" si="3"/>
        <v>84.388631857237286</v>
      </c>
      <c r="O11" s="14">
        <f t="shared" si="4"/>
        <v>0</v>
      </c>
      <c r="P11" s="15">
        <f t="shared" si="5"/>
        <v>-3.8466622604097722</v>
      </c>
      <c r="Q11" s="123">
        <f t="shared" si="6"/>
        <v>0.95640449438202257</v>
      </c>
      <c r="R11" s="616"/>
      <c r="S11" s="32">
        <v>0.52500000000000002</v>
      </c>
      <c r="T11" s="32">
        <v>0.58680555555555558</v>
      </c>
      <c r="U11" s="124">
        <f t="shared" si="14"/>
        <v>58.000000000000036</v>
      </c>
      <c r="V11" s="131">
        <f t="shared" si="13"/>
        <v>89</v>
      </c>
      <c r="W11" s="16"/>
      <c r="X11" s="16"/>
      <c r="Y11" s="16"/>
      <c r="Z11" s="16"/>
      <c r="AA11" s="607"/>
      <c r="AB11" s="608"/>
      <c r="AC11" s="136"/>
      <c r="AD11" s="18"/>
      <c r="AE11" s="14">
        <f t="shared" si="8"/>
        <v>-65.393258426966213</v>
      </c>
      <c r="AF11" s="123">
        <f t="shared" si="9"/>
        <v>0.95640449438202257</v>
      </c>
      <c r="AG11" s="616"/>
    </row>
    <row r="12" spans="1:33" ht="16.5" customHeight="1">
      <c r="A12" s="640" t="s">
        <v>370</v>
      </c>
      <c r="B12" s="27" t="s">
        <v>70</v>
      </c>
      <c r="C12" s="658"/>
      <c r="D12" s="658"/>
      <c r="E12" s="125"/>
      <c r="F12" s="29"/>
      <c r="G12" s="13"/>
      <c r="H12" s="132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1430.9853886858962</v>
      </c>
      <c r="N12" s="12">
        <f t="shared" si="3"/>
        <v>84.175611099170368</v>
      </c>
      <c r="O12" s="14">
        <f t="shared" si="4"/>
        <v>0</v>
      </c>
      <c r="P12" s="15">
        <f t="shared" si="5"/>
        <v>-4.0596830184766901</v>
      </c>
      <c r="Q12" s="123">
        <f t="shared" si="6"/>
        <v>0.95399025912393087</v>
      </c>
      <c r="R12" s="616"/>
      <c r="S12" s="32"/>
      <c r="T12" s="32"/>
      <c r="U12" s="12"/>
      <c r="V12" s="131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-69.014611314103831</v>
      </c>
      <c r="AF12" s="123">
        <f t="shared" si="9"/>
        <v>0.95399025912393076</v>
      </c>
      <c r="AG12" s="616"/>
    </row>
    <row r="13" spans="1:33" ht="16.5" customHeight="1">
      <c r="A13" s="636" t="s">
        <v>371</v>
      </c>
      <c r="B13" s="132" t="s">
        <v>11</v>
      </c>
      <c r="C13" s="659" t="s">
        <v>67</v>
      </c>
      <c r="D13" s="659"/>
      <c r="E13" s="27">
        <v>38.619999999999997</v>
      </c>
      <c r="F13" s="132">
        <v>1742</v>
      </c>
      <c r="G13" s="124">
        <f t="shared" ref="G13:G18" si="15">E13*F13</f>
        <v>67276.039999999994</v>
      </c>
      <c r="H13" s="31"/>
      <c r="I13" s="130">
        <v>24</v>
      </c>
      <c r="J13" s="29">
        <v>1500</v>
      </c>
      <c r="K13" s="12">
        <f t="shared" si="1"/>
        <v>62.5</v>
      </c>
      <c r="L13" s="130">
        <v>24</v>
      </c>
      <c r="M13" s="13">
        <f t="shared" ref="M13:M18" si="16">F13/V13*60</f>
        <v>1431.7808219178082</v>
      </c>
      <c r="N13" s="12">
        <f t="shared" si="3"/>
        <v>59.657534246575345</v>
      </c>
      <c r="O13" s="14">
        <f t="shared" si="4"/>
        <v>0</v>
      </c>
      <c r="P13" s="15">
        <f t="shared" si="5"/>
        <v>-2.8424657534246549</v>
      </c>
      <c r="Q13" s="123">
        <f t="shared" si="6"/>
        <v>0.95452054794520547</v>
      </c>
      <c r="R13" s="616">
        <f>Q19</f>
        <v>0.95794892976525958</v>
      </c>
      <c r="S13" s="32">
        <v>8.3333333333333329E-2</v>
      </c>
      <c r="T13" s="32">
        <v>0.13402777777777777</v>
      </c>
      <c r="U13" s="124"/>
      <c r="V13" s="131">
        <f t="shared" ref="V13:V18" si="17">(T13-S13)*24*60</f>
        <v>73</v>
      </c>
      <c r="W13" s="16">
        <f>T13</f>
        <v>0.13402777777777777</v>
      </c>
      <c r="X13" s="16">
        <f>S14</f>
        <v>0.15138888888888885</v>
      </c>
      <c r="Y13" s="20"/>
      <c r="Z13" s="20"/>
      <c r="AA13" s="612"/>
      <c r="AB13" s="612"/>
      <c r="AC13" s="136">
        <v>6</v>
      </c>
      <c r="AD13" s="18"/>
      <c r="AE13" s="14">
        <f t="shared" si="8"/>
        <v>-68.219178082191775</v>
      </c>
      <c r="AF13" s="123">
        <f t="shared" si="9"/>
        <v>0.95452054794520547</v>
      </c>
      <c r="AG13" s="616">
        <f>AF19</f>
        <v>0.95794892976525969</v>
      </c>
    </row>
    <row r="14" spans="1:33" ht="16.5" customHeight="1">
      <c r="A14" s="637" t="s">
        <v>371</v>
      </c>
      <c r="B14" s="132" t="s">
        <v>11</v>
      </c>
      <c r="C14" s="659" t="s">
        <v>12</v>
      </c>
      <c r="D14" s="659"/>
      <c r="E14" s="27">
        <v>41</v>
      </c>
      <c r="F14" s="132">
        <v>1576</v>
      </c>
      <c r="G14" s="124">
        <f t="shared" si="15"/>
        <v>64616</v>
      </c>
      <c r="H14" s="31"/>
      <c r="I14" s="130">
        <v>26</v>
      </c>
      <c r="J14" s="29">
        <v>1500</v>
      </c>
      <c r="K14" s="12">
        <f t="shared" si="1"/>
        <v>57.692307692307693</v>
      </c>
      <c r="L14" s="130">
        <v>26</v>
      </c>
      <c r="M14" s="13">
        <f t="shared" si="16"/>
        <v>1432.7272727272727</v>
      </c>
      <c r="N14" s="12">
        <f t="shared" si="3"/>
        <v>55.104895104895107</v>
      </c>
      <c r="O14" s="14">
        <f t="shared" si="4"/>
        <v>0</v>
      </c>
      <c r="P14" s="15">
        <f t="shared" si="5"/>
        <v>-2.5874125874125866</v>
      </c>
      <c r="Q14" s="123">
        <f t="shared" si="6"/>
        <v>0.9551515151515152</v>
      </c>
      <c r="R14" s="616"/>
      <c r="S14" s="32">
        <v>0.15138888888888885</v>
      </c>
      <c r="T14" s="32">
        <v>0.19722222222222219</v>
      </c>
      <c r="U14" s="124">
        <f t="shared" ref="U14:U18" si="18">IF(S14=TIME(17,0,0),"",(S14-T13)*24*60)</f>
        <v>24.99999999999995</v>
      </c>
      <c r="V14" s="131">
        <f t="shared" si="17"/>
        <v>66</v>
      </c>
      <c r="W14" s="16"/>
      <c r="X14" s="16"/>
      <c r="Y14" s="16"/>
      <c r="Z14" s="16"/>
      <c r="AA14" s="612"/>
      <c r="AB14" s="612"/>
      <c r="AC14" s="136"/>
      <c r="AD14" s="18"/>
      <c r="AE14" s="14">
        <f t="shared" si="8"/>
        <v>-67.272727272727252</v>
      </c>
      <c r="AF14" s="123">
        <f t="shared" si="9"/>
        <v>0.9551515151515152</v>
      </c>
      <c r="AG14" s="616"/>
    </row>
    <row r="15" spans="1:33" ht="16.5" customHeight="1">
      <c r="A15" s="637" t="s">
        <v>371</v>
      </c>
      <c r="B15" s="132" t="s">
        <v>5</v>
      </c>
      <c r="C15" s="659" t="s">
        <v>66</v>
      </c>
      <c r="D15" s="659"/>
      <c r="E15" s="27">
        <v>37.03</v>
      </c>
      <c r="F15" s="132">
        <v>3056</v>
      </c>
      <c r="G15" s="124">
        <f t="shared" si="15"/>
        <v>113163.68000000001</v>
      </c>
      <c r="H15" s="31"/>
      <c r="I15" s="130">
        <v>13</v>
      </c>
      <c r="J15" s="29">
        <v>1500</v>
      </c>
      <c r="K15" s="12">
        <f t="shared" si="1"/>
        <v>115.38461538461539</v>
      </c>
      <c r="L15" s="130">
        <v>13</v>
      </c>
      <c r="M15" s="13">
        <f t="shared" si="16"/>
        <v>1432.5000000000002</v>
      </c>
      <c r="N15" s="12">
        <f t="shared" si="3"/>
        <v>110.19230769230771</v>
      </c>
      <c r="O15" s="14">
        <f t="shared" si="4"/>
        <v>0</v>
      </c>
      <c r="P15" s="15">
        <f t="shared" si="5"/>
        <v>-5.1923076923076792</v>
      </c>
      <c r="Q15" s="123">
        <f t="shared" si="6"/>
        <v>0.95500000000000007</v>
      </c>
      <c r="R15" s="616"/>
      <c r="S15" s="32">
        <v>0.20277777777777775</v>
      </c>
      <c r="T15" s="32">
        <v>0.29166666666666663</v>
      </c>
      <c r="U15" s="124">
        <f t="shared" si="18"/>
        <v>8.0000000000000107</v>
      </c>
      <c r="V15" s="131">
        <f t="shared" si="17"/>
        <v>127.99999999999997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-67.499999999999773</v>
      </c>
      <c r="AF15" s="123">
        <f t="shared" si="9"/>
        <v>0.95500000000000018</v>
      </c>
      <c r="AG15" s="616"/>
    </row>
    <row r="16" spans="1:33" ht="16.5" customHeight="1">
      <c r="A16" s="637" t="s">
        <v>371</v>
      </c>
      <c r="B16" s="132" t="s">
        <v>8</v>
      </c>
      <c r="C16" s="659" t="s">
        <v>74</v>
      </c>
      <c r="D16" s="659"/>
      <c r="E16" s="27">
        <v>39.520000000000003</v>
      </c>
      <c r="F16" s="132">
        <v>2839</v>
      </c>
      <c r="G16" s="124">
        <f t="shared" si="15"/>
        <v>112197.28000000001</v>
      </c>
      <c r="H16" s="31"/>
      <c r="I16" s="130">
        <v>19</v>
      </c>
      <c r="J16" s="29">
        <v>1500</v>
      </c>
      <c r="K16" s="12">
        <f t="shared" si="1"/>
        <v>78.94736842105263</v>
      </c>
      <c r="L16" s="130">
        <v>19</v>
      </c>
      <c r="M16" s="13">
        <f t="shared" si="16"/>
        <v>1431.4285714285716</v>
      </c>
      <c r="N16" s="12">
        <f t="shared" si="3"/>
        <v>75.338345864661662</v>
      </c>
      <c r="O16" s="14">
        <f t="shared" si="4"/>
        <v>0</v>
      </c>
      <c r="P16" s="15">
        <f t="shared" si="5"/>
        <v>-3.6090225563909684</v>
      </c>
      <c r="Q16" s="123">
        <f t="shared" si="6"/>
        <v>0.9542857142857144</v>
      </c>
      <c r="R16" s="616"/>
      <c r="S16" s="32">
        <v>0.29583333333333328</v>
      </c>
      <c r="T16" s="32">
        <v>0.37847222222222215</v>
      </c>
      <c r="U16" s="124">
        <f t="shared" si="18"/>
        <v>5.9999999999999787</v>
      </c>
      <c r="V16" s="131">
        <f t="shared" si="17"/>
        <v>118.99999999999997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-68.571428571428442</v>
      </c>
      <c r="AF16" s="123">
        <f t="shared" si="9"/>
        <v>0.9542857142857144</v>
      </c>
      <c r="AG16" s="616"/>
    </row>
    <row r="17" spans="1:33" ht="16.5" customHeight="1">
      <c r="A17" s="637" t="s">
        <v>371</v>
      </c>
      <c r="B17" s="132" t="s">
        <v>5</v>
      </c>
      <c r="C17" s="659" t="s">
        <v>6</v>
      </c>
      <c r="D17" s="659"/>
      <c r="E17" s="27">
        <v>50.67</v>
      </c>
      <c r="F17" s="132">
        <v>1248</v>
      </c>
      <c r="G17" s="124">
        <f t="shared" si="15"/>
        <v>63236.160000000003</v>
      </c>
      <c r="H17" s="31"/>
      <c r="I17" s="130">
        <v>17</v>
      </c>
      <c r="J17" s="29">
        <v>2000</v>
      </c>
      <c r="K17" s="12">
        <f t="shared" si="1"/>
        <v>117.64705882352941</v>
      </c>
      <c r="L17" s="130">
        <v>17</v>
      </c>
      <c r="M17" s="13">
        <f t="shared" si="16"/>
        <v>1919.9999999999989</v>
      </c>
      <c r="N17" s="12">
        <f t="shared" si="3"/>
        <v>112.94117647058818</v>
      </c>
      <c r="O17" s="14">
        <f t="shared" si="4"/>
        <v>0</v>
      </c>
      <c r="P17" s="15">
        <f t="shared" si="5"/>
        <v>-4.7058823529412308</v>
      </c>
      <c r="Q17" s="123">
        <f t="shared" si="6"/>
        <v>0.95999999999999952</v>
      </c>
      <c r="R17" s="616"/>
      <c r="S17" s="32">
        <v>0.70833333333333337</v>
      </c>
      <c r="T17" s="32">
        <v>0.73541666666666672</v>
      </c>
      <c r="U17" s="124" t="str">
        <f t="shared" si="18"/>
        <v/>
      </c>
      <c r="V17" s="131">
        <f t="shared" si="17"/>
        <v>39.000000000000021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-80.000000000001137</v>
      </c>
      <c r="AF17" s="123">
        <f t="shared" si="9"/>
        <v>0.95999999999999941</v>
      </c>
      <c r="AG17" s="616"/>
    </row>
    <row r="18" spans="1:33" ht="16.5" customHeight="1">
      <c r="A18" s="637" t="s">
        <v>371</v>
      </c>
      <c r="B18" s="132" t="s">
        <v>5</v>
      </c>
      <c r="C18" s="106" t="s">
        <v>7</v>
      </c>
      <c r="D18" s="107"/>
      <c r="E18" s="27">
        <v>50.67</v>
      </c>
      <c r="F18" s="132">
        <v>1223</v>
      </c>
      <c r="G18" s="124">
        <f t="shared" si="15"/>
        <v>61969.41</v>
      </c>
      <c r="H18" s="31"/>
      <c r="I18" s="130">
        <v>15</v>
      </c>
      <c r="J18" s="29">
        <v>2000</v>
      </c>
      <c r="K18" s="12">
        <f t="shared" si="1"/>
        <v>133.33333333333334</v>
      </c>
      <c r="L18" s="130">
        <v>15</v>
      </c>
      <c r="M18" s="13">
        <f t="shared" si="16"/>
        <v>1931.0526315789459</v>
      </c>
      <c r="N18" s="12">
        <f t="shared" si="3"/>
        <v>128.73684210526307</v>
      </c>
      <c r="O18" s="14">
        <f t="shared" si="4"/>
        <v>0</v>
      </c>
      <c r="P18" s="15">
        <f t="shared" si="5"/>
        <v>-4.5964912280702777</v>
      </c>
      <c r="Q18" s="123">
        <f t="shared" si="6"/>
        <v>0.9655263157894729</v>
      </c>
      <c r="R18" s="616"/>
      <c r="S18" s="32">
        <v>0.73888888888888893</v>
      </c>
      <c r="T18" s="32">
        <v>0.76527777777777783</v>
      </c>
      <c r="U18" s="124">
        <f t="shared" si="18"/>
        <v>4.9999999999999822</v>
      </c>
      <c r="V18" s="131">
        <f t="shared" si="17"/>
        <v>38.000000000000028</v>
      </c>
      <c r="W18" s="16"/>
      <c r="X18" s="16"/>
      <c r="Y18" s="19"/>
      <c r="Z18" s="19"/>
      <c r="AA18" s="128"/>
      <c r="AB18" s="129"/>
      <c r="AC18" s="136"/>
      <c r="AD18" s="18"/>
      <c r="AE18" s="14">
        <f t="shared" si="8"/>
        <v>-68.94736842105408</v>
      </c>
      <c r="AF18" s="123">
        <f t="shared" si="9"/>
        <v>0.96552631578947301</v>
      </c>
      <c r="AG18" s="616"/>
    </row>
    <row r="19" spans="1:33" ht="16.5" customHeight="1">
      <c r="A19" s="637" t="s">
        <v>371</v>
      </c>
      <c r="B19" s="27" t="s">
        <v>70</v>
      </c>
      <c r="C19" s="658"/>
      <c r="D19" s="658"/>
      <c r="E19" s="125"/>
      <c r="F19" s="28"/>
      <c r="G19" s="12"/>
      <c r="H19" s="132"/>
      <c r="I19" s="21">
        <v>19</v>
      </c>
      <c r="J19" s="29">
        <v>1666.6666666666667</v>
      </c>
      <c r="K19" s="12">
        <f t="shared" si="1"/>
        <v>87.719298245614041</v>
      </c>
      <c r="L19" s="21">
        <v>19</v>
      </c>
      <c r="M19" s="13">
        <f>AVERAGE(M13:M18)</f>
        <v>1596.5815496087662</v>
      </c>
      <c r="N19" s="12">
        <f t="shared" si="3"/>
        <v>84.030607874145588</v>
      </c>
      <c r="O19" s="14">
        <f t="shared" si="4"/>
        <v>0</v>
      </c>
      <c r="P19" s="15">
        <f t="shared" si="5"/>
        <v>-3.6886903714684536</v>
      </c>
      <c r="Q19" s="123">
        <f t="shared" si="6"/>
        <v>0.95794892976525958</v>
      </c>
      <c r="R19" s="616"/>
      <c r="S19" s="32"/>
      <c r="T19" s="32"/>
      <c r="U19" s="124"/>
      <c r="V19" s="131"/>
      <c r="W19" s="12"/>
      <c r="X19" s="12"/>
      <c r="Y19" s="22">
        <f>SUM(Y13:Y18)</f>
        <v>0</v>
      </c>
      <c r="Z19" s="22">
        <f>SUM(Z13:Z18)</f>
        <v>0</v>
      </c>
      <c r="AA19" s="611"/>
      <c r="AB19" s="611"/>
      <c r="AC19" s="22">
        <v>6</v>
      </c>
      <c r="AD19" s="22">
        <f>SUM(AD13:AD18)</f>
        <v>0</v>
      </c>
      <c r="AE19" s="14">
        <f t="shared" si="8"/>
        <v>-70.085117057900561</v>
      </c>
      <c r="AF19" s="123">
        <f t="shared" si="9"/>
        <v>0.95794892976525969</v>
      </c>
      <c r="AG19" s="616"/>
    </row>
    <row r="20" spans="1:33" ht="15.75" customHeight="1">
      <c r="A20" s="634" t="s">
        <v>372</v>
      </c>
      <c r="B20" s="27" t="s">
        <v>5</v>
      </c>
      <c r="C20" s="659" t="s">
        <v>16</v>
      </c>
      <c r="D20" s="659"/>
      <c r="E20" s="27">
        <v>50.67</v>
      </c>
      <c r="F20" s="132">
        <v>1396</v>
      </c>
      <c r="G20" s="124">
        <f t="shared" ref="G20:G25" si="19">E20*F20</f>
        <v>70735.320000000007</v>
      </c>
      <c r="H20" s="31"/>
      <c r="I20" s="130">
        <v>17</v>
      </c>
      <c r="J20" s="29">
        <v>2000</v>
      </c>
      <c r="K20" s="12">
        <f t="shared" si="1"/>
        <v>117.64705882352941</v>
      </c>
      <c r="L20" s="130">
        <v>17</v>
      </c>
      <c r="M20" s="13">
        <f t="shared" ref="M20:M25" si="20">F20/V20*60</f>
        <v>1947.9069767441856</v>
      </c>
      <c r="N20" s="12">
        <f t="shared" si="3"/>
        <v>114.58276333789327</v>
      </c>
      <c r="O20" s="14">
        <f t="shared" si="4"/>
        <v>0</v>
      </c>
      <c r="P20" s="15">
        <f t="shared" si="5"/>
        <v>-3.0642954856361371</v>
      </c>
      <c r="Q20" s="123">
        <f t="shared" si="6"/>
        <v>0.97395348837209283</v>
      </c>
      <c r="R20" s="616">
        <f>Q26</f>
        <v>0.96370208036880844</v>
      </c>
      <c r="S20" s="32">
        <v>0.20833333333333334</v>
      </c>
      <c r="T20" s="32">
        <v>0.23819444444444446</v>
      </c>
      <c r="U20" s="124"/>
      <c r="V20" s="131">
        <f t="shared" ref="V20:V25" si="21">(T20-S20)*24*60</f>
        <v>43.000000000000007</v>
      </c>
      <c r="W20" s="20"/>
      <c r="X20" s="20"/>
      <c r="Y20" s="20"/>
      <c r="Z20" s="20"/>
      <c r="AA20" s="612"/>
      <c r="AB20" s="612"/>
      <c r="AC20" s="136">
        <v>6</v>
      </c>
      <c r="AD20" s="18"/>
      <c r="AE20" s="14">
        <f t="shared" si="8"/>
        <v>-52.093023255814387</v>
      </c>
      <c r="AF20" s="123">
        <f t="shared" si="9"/>
        <v>0.97395348837209283</v>
      </c>
      <c r="AG20" s="616">
        <f>AF26</f>
        <v>0.96370208036880844</v>
      </c>
    </row>
    <row r="21" spans="1:33" ht="15.75" customHeight="1">
      <c r="A21" s="635" t="s">
        <v>372</v>
      </c>
      <c r="B21" s="27" t="s">
        <v>5</v>
      </c>
      <c r="C21" s="659" t="s">
        <v>17</v>
      </c>
      <c r="D21" s="659"/>
      <c r="E21" s="27">
        <v>57.73</v>
      </c>
      <c r="F21" s="132">
        <v>1858</v>
      </c>
      <c r="G21" s="124">
        <f t="shared" si="19"/>
        <v>107262.34</v>
      </c>
      <c r="H21" s="31"/>
      <c r="I21" s="130">
        <v>14</v>
      </c>
      <c r="J21" s="29">
        <v>2000</v>
      </c>
      <c r="K21" s="12">
        <f t="shared" si="1"/>
        <v>142.85714285714286</v>
      </c>
      <c r="L21" s="130">
        <v>14</v>
      </c>
      <c r="M21" s="13">
        <f t="shared" si="20"/>
        <v>1922.06896551724</v>
      </c>
      <c r="N21" s="12">
        <f t="shared" si="3"/>
        <v>137.29064039408857</v>
      </c>
      <c r="O21" s="14">
        <f t="shared" si="4"/>
        <v>0</v>
      </c>
      <c r="P21" s="15">
        <f t="shared" si="5"/>
        <v>-5.5665024630542916</v>
      </c>
      <c r="Q21" s="123">
        <f t="shared" si="6"/>
        <v>0.96103448275861991</v>
      </c>
      <c r="R21" s="616"/>
      <c r="S21" s="32">
        <v>0.24375000000000002</v>
      </c>
      <c r="T21" s="32">
        <v>0.28402777777777782</v>
      </c>
      <c r="U21" s="124">
        <f t="shared" ref="U21:U25" si="22">IF(S21=TIME(17,0,0),"",(S21-T20)*24*60)</f>
        <v>8.0000000000000107</v>
      </c>
      <c r="V21" s="131">
        <f t="shared" si="21"/>
        <v>58.000000000000036</v>
      </c>
      <c r="W21" s="16"/>
      <c r="X21" s="124"/>
      <c r="Y21" s="124"/>
      <c r="Z21" s="124"/>
      <c r="AA21" s="612"/>
      <c r="AB21" s="612"/>
      <c r="AC21" s="136"/>
      <c r="AD21" s="18"/>
      <c r="AE21" s="14">
        <f t="shared" si="8"/>
        <v>-77.931034482759969</v>
      </c>
      <c r="AF21" s="123">
        <f t="shared" si="9"/>
        <v>0.96103448275862002</v>
      </c>
      <c r="AG21" s="616"/>
    </row>
    <row r="22" spans="1:33" ht="15.75" customHeight="1">
      <c r="A22" s="635" t="s">
        <v>372</v>
      </c>
      <c r="B22" s="27" t="s">
        <v>5</v>
      </c>
      <c r="C22" s="659" t="s">
        <v>60</v>
      </c>
      <c r="D22" s="659"/>
      <c r="E22" s="27">
        <v>53.27</v>
      </c>
      <c r="F22" s="132">
        <v>1258</v>
      </c>
      <c r="G22" s="124">
        <f t="shared" si="19"/>
        <v>67013.66</v>
      </c>
      <c r="H22" s="31"/>
      <c r="I22" s="130">
        <v>16</v>
      </c>
      <c r="J22" s="29">
        <v>2000</v>
      </c>
      <c r="K22" s="12">
        <f t="shared" si="1"/>
        <v>125</v>
      </c>
      <c r="L22" s="130">
        <v>16</v>
      </c>
      <c r="M22" s="13">
        <f t="shared" si="20"/>
        <v>1935.3846153846146</v>
      </c>
      <c r="N22" s="12">
        <f t="shared" si="3"/>
        <v>120.96153846153841</v>
      </c>
      <c r="O22" s="14">
        <f t="shared" si="4"/>
        <v>0</v>
      </c>
      <c r="P22" s="15">
        <f t="shared" si="5"/>
        <v>-4.0384615384615898</v>
      </c>
      <c r="Q22" s="123">
        <f t="shared" si="6"/>
        <v>0.9676923076923073</v>
      </c>
      <c r="R22" s="616"/>
      <c r="S22" s="32">
        <v>0.28750000000000003</v>
      </c>
      <c r="T22" s="32">
        <v>0.31458333333333338</v>
      </c>
      <c r="U22" s="124">
        <f t="shared" si="22"/>
        <v>4.9999999999999822</v>
      </c>
      <c r="V22" s="131">
        <f t="shared" si="21"/>
        <v>39.000000000000021</v>
      </c>
      <c r="W22" s="16"/>
      <c r="X22" s="124"/>
      <c r="Y22" s="124"/>
      <c r="Z22" s="124"/>
      <c r="AA22" s="612"/>
      <c r="AB22" s="612"/>
      <c r="AC22" s="136"/>
      <c r="AD22" s="18"/>
      <c r="AE22" s="14">
        <f t="shared" si="8"/>
        <v>-64.615384615385437</v>
      </c>
      <c r="AF22" s="123">
        <f t="shared" si="9"/>
        <v>0.9676923076923073</v>
      </c>
      <c r="AG22" s="616"/>
    </row>
    <row r="23" spans="1:33" ht="15.75" customHeight="1">
      <c r="A23" s="635" t="s">
        <v>372</v>
      </c>
      <c r="B23" s="27" t="s">
        <v>5</v>
      </c>
      <c r="C23" s="659" t="s">
        <v>81</v>
      </c>
      <c r="D23" s="659"/>
      <c r="E23" s="27">
        <v>51.44</v>
      </c>
      <c r="F23" s="132">
        <v>1880</v>
      </c>
      <c r="G23" s="124">
        <f t="shared" si="19"/>
        <v>96707.199999999997</v>
      </c>
      <c r="H23" s="31"/>
      <c r="I23" s="130">
        <v>25</v>
      </c>
      <c r="J23" s="29">
        <v>2000</v>
      </c>
      <c r="K23" s="12">
        <f t="shared" si="1"/>
        <v>80</v>
      </c>
      <c r="L23" s="130">
        <v>25</v>
      </c>
      <c r="M23" s="13">
        <f t="shared" si="20"/>
        <v>1911.8644067796602</v>
      </c>
      <c r="N23" s="12">
        <f t="shared" si="3"/>
        <v>76.474576271186407</v>
      </c>
      <c r="O23" s="14">
        <f t="shared" si="4"/>
        <v>0</v>
      </c>
      <c r="P23" s="15">
        <f t="shared" si="5"/>
        <v>-3.5254237288135926</v>
      </c>
      <c r="Q23" s="123">
        <f t="shared" si="6"/>
        <v>0.95593220338983009</v>
      </c>
      <c r="R23" s="616"/>
      <c r="S23" s="32">
        <v>0.31805555555555559</v>
      </c>
      <c r="T23" s="32">
        <v>0.35902777777777783</v>
      </c>
      <c r="U23" s="124">
        <f t="shared" si="22"/>
        <v>4.9999999999999822</v>
      </c>
      <c r="V23" s="131">
        <f t="shared" si="21"/>
        <v>59.000000000000028</v>
      </c>
      <c r="W23" s="16"/>
      <c r="X23" s="124"/>
      <c r="Y23" s="124"/>
      <c r="Z23" s="124"/>
      <c r="AA23" s="612"/>
      <c r="AB23" s="612"/>
      <c r="AC23" s="136"/>
      <c r="AD23" s="18"/>
      <c r="AE23" s="14">
        <f t="shared" si="8"/>
        <v>-88.135593220339842</v>
      </c>
      <c r="AF23" s="123">
        <f t="shared" si="9"/>
        <v>0.95593220338983009</v>
      </c>
      <c r="AG23" s="616"/>
    </row>
    <row r="24" spans="1:33" ht="15.75" customHeight="1">
      <c r="A24" s="635" t="s">
        <v>373</v>
      </c>
      <c r="B24" s="27" t="s">
        <v>5</v>
      </c>
      <c r="C24" s="659" t="s">
        <v>18</v>
      </c>
      <c r="D24" s="659"/>
      <c r="E24" s="27">
        <v>50.49</v>
      </c>
      <c r="F24" s="132">
        <v>1606</v>
      </c>
      <c r="G24" s="124">
        <f t="shared" si="19"/>
        <v>81086.94</v>
      </c>
      <c r="H24" s="31"/>
      <c r="I24" s="130">
        <v>15</v>
      </c>
      <c r="J24" s="29">
        <v>2000</v>
      </c>
      <c r="K24" s="12">
        <f t="shared" si="1"/>
        <v>133.33333333333334</v>
      </c>
      <c r="L24" s="130">
        <v>15</v>
      </c>
      <c r="M24" s="13">
        <f t="shared" si="20"/>
        <v>1927.2000000000007</v>
      </c>
      <c r="N24" s="12">
        <f t="shared" si="3"/>
        <v>128.48000000000005</v>
      </c>
      <c r="O24" s="14">
        <f t="shared" si="4"/>
        <v>0</v>
      </c>
      <c r="P24" s="15">
        <f t="shared" si="5"/>
        <v>-4.8533333333332962</v>
      </c>
      <c r="Q24" s="123">
        <f t="shared" si="6"/>
        <v>0.96360000000000023</v>
      </c>
      <c r="R24" s="616"/>
      <c r="S24" s="32">
        <v>0.70833333333333337</v>
      </c>
      <c r="T24" s="32">
        <v>0.74305555555555558</v>
      </c>
      <c r="U24" s="124" t="str">
        <f t="shared" si="22"/>
        <v/>
      </c>
      <c r="V24" s="131">
        <f t="shared" si="21"/>
        <v>49.999999999999986</v>
      </c>
      <c r="W24" s="16"/>
      <c r="X24" s="16"/>
      <c r="Y24" s="124"/>
      <c r="Z24" s="124"/>
      <c r="AA24" s="612"/>
      <c r="AB24" s="612"/>
      <c r="AC24" s="136"/>
      <c r="AD24" s="18"/>
      <c r="AE24" s="14">
        <f t="shared" si="8"/>
        <v>-72.799999999999272</v>
      </c>
      <c r="AF24" s="123">
        <f t="shared" si="9"/>
        <v>0.96360000000000035</v>
      </c>
      <c r="AG24" s="616"/>
    </row>
    <row r="25" spans="1:33" ht="15.75" customHeight="1">
      <c r="A25" s="635" t="s">
        <v>372</v>
      </c>
      <c r="B25" s="27" t="s">
        <v>5</v>
      </c>
      <c r="C25" s="659" t="s">
        <v>62</v>
      </c>
      <c r="D25" s="659"/>
      <c r="E25" s="27">
        <v>51.06</v>
      </c>
      <c r="F25" s="132">
        <v>2560</v>
      </c>
      <c r="G25" s="124">
        <f t="shared" si="19"/>
        <v>130713.60000000001</v>
      </c>
      <c r="H25" s="31"/>
      <c r="I25" s="130">
        <v>13</v>
      </c>
      <c r="J25" s="29">
        <v>2000</v>
      </c>
      <c r="K25" s="12">
        <f t="shared" si="1"/>
        <v>153.84615384615384</v>
      </c>
      <c r="L25" s="130">
        <v>13</v>
      </c>
      <c r="M25" s="13">
        <f t="shared" si="20"/>
        <v>1919.9999999999993</v>
      </c>
      <c r="N25" s="12">
        <f t="shared" si="3"/>
        <v>147.69230769230765</v>
      </c>
      <c r="O25" s="14">
        <f t="shared" si="4"/>
        <v>0</v>
      </c>
      <c r="P25" s="15">
        <f t="shared" si="5"/>
        <v>-6.1538461538461888</v>
      </c>
      <c r="Q25" s="123">
        <f t="shared" si="6"/>
        <v>0.95999999999999974</v>
      </c>
      <c r="R25" s="616"/>
      <c r="S25" s="32">
        <v>0.74791666666666667</v>
      </c>
      <c r="T25" s="32">
        <v>0.80347222222222225</v>
      </c>
      <c r="U25" s="124">
        <f t="shared" si="22"/>
        <v>6.9999999999999751</v>
      </c>
      <c r="V25" s="131">
        <f t="shared" si="21"/>
        <v>80.000000000000028</v>
      </c>
      <c r="W25" s="16"/>
      <c r="X25" s="20"/>
      <c r="Y25" s="20"/>
      <c r="Z25" s="20"/>
      <c r="AA25" s="612"/>
      <c r="AB25" s="612"/>
      <c r="AC25" s="136"/>
      <c r="AD25" s="18"/>
      <c r="AE25" s="14">
        <f t="shared" si="8"/>
        <v>-80.000000000000682</v>
      </c>
      <c r="AF25" s="123">
        <f t="shared" si="9"/>
        <v>0.95999999999999963</v>
      </c>
      <c r="AG25" s="616"/>
    </row>
    <row r="26" spans="1:33" ht="15.75" customHeight="1">
      <c r="A26" s="635" t="s">
        <v>372</v>
      </c>
      <c r="B26" s="27" t="s">
        <v>70</v>
      </c>
      <c r="C26" s="658"/>
      <c r="D26" s="658"/>
      <c r="E26" s="125"/>
      <c r="F26" s="132"/>
      <c r="G26" s="124"/>
      <c r="H26" s="132"/>
      <c r="I26" s="21">
        <v>16.666666666666668</v>
      </c>
      <c r="J26" s="29">
        <v>2000</v>
      </c>
      <c r="K26" s="12">
        <f t="shared" si="1"/>
        <v>119.99999999999999</v>
      </c>
      <c r="L26" s="21">
        <v>16.666666666666668</v>
      </c>
      <c r="M26" s="13">
        <f>AVERAGE(M20:M25)</f>
        <v>1927.4041607376168</v>
      </c>
      <c r="N26" s="12">
        <f t="shared" si="3"/>
        <v>115.644249644257</v>
      </c>
      <c r="O26" s="14">
        <f t="shared" si="4"/>
        <v>0</v>
      </c>
      <c r="P26" s="15">
        <f t="shared" si="5"/>
        <v>-4.355750355742984</v>
      </c>
      <c r="Q26" s="123">
        <f t="shared" si="6"/>
        <v>0.96370208036880844</v>
      </c>
      <c r="R26" s="616"/>
      <c r="S26" s="32"/>
      <c r="T26" s="32"/>
      <c r="U26" s="12"/>
      <c r="V26" s="131"/>
      <c r="W26" s="12"/>
      <c r="X26" s="12"/>
      <c r="Y26" s="22">
        <f>SUM(Y20:Y25)</f>
        <v>0</v>
      </c>
      <c r="Z26" s="22">
        <f>SUM(Z20:Z25)</f>
        <v>0</v>
      </c>
      <c r="AA26" s="611"/>
      <c r="AB26" s="611"/>
      <c r="AC26" s="22">
        <v>6</v>
      </c>
      <c r="AD26" s="22">
        <f>SUM(AD20:AD25)</f>
        <v>0</v>
      </c>
      <c r="AE26" s="14">
        <f t="shared" si="8"/>
        <v>-72.595839262383151</v>
      </c>
      <c r="AF26" s="123">
        <f t="shared" si="9"/>
        <v>0.96370208036880844</v>
      </c>
      <c r="AG26" s="616"/>
    </row>
    <row r="27" spans="1:33" ht="15.75" customHeight="1">
      <c r="A27" s="633" t="s">
        <v>374</v>
      </c>
      <c r="B27" s="27" t="s">
        <v>20</v>
      </c>
      <c r="C27" s="659" t="s">
        <v>21</v>
      </c>
      <c r="D27" s="659"/>
      <c r="E27" s="27">
        <v>31.29</v>
      </c>
      <c r="F27" s="132">
        <v>3800</v>
      </c>
      <c r="G27" s="124">
        <f t="shared" ref="G27:G32" si="23">E27*F27</f>
        <v>118902</v>
      </c>
      <c r="H27" s="31">
        <v>2</v>
      </c>
      <c r="I27" s="130">
        <v>18</v>
      </c>
      <c r="J27" s="29">
        <v>2400</v>
      </c>
      <c r="K27" s="12">
        <f t="shared" si="1"/>
        <v>133.33333333333334</v>
      </c>
      <c r="L27" s="130">
        <v>18</v>
      </c>
      <c r="M27" s="13">
        <f t="shared" ref="M27:M32" si="24">F27/V27*60</f>
        <v>2303.030303030303</v>
      </c>
      <c r="N27" s="12">
        <f t="shared" si="3"/>
        <v>127.94612794612794</v>
      </c>
      <c r="O27" s="14">
        <f t="shared" si="4"/>
        <v>0</v>
      </c>
      <c r="P27" s="15">
        <f t="shared" si="5"/>
        <v>-5.3872053872053982</v>
      </c>
      <c r="Q27" s="123">
        <f t="shared" si="6"/>
        <v>0.95959595959595956</v>
      </c>
      <c r="R27" s="616">
        <f>Q33</f>
        <v>0.95693154580756357</v>
      </c>
      <c r="S27" s="32">
        <v>8.3333333333333329E-2</v>
      </c>
      <c r="T27" s="32">
        <v>0.15208333333333332</v>
      </c>
      <c r="U27" s="124"/>
      <c r="V27" s="131">
        <f t="shared" ref="V27:V32" si="25">(T27-S27)*24*60</f>
        <v>99</v>
      </c>
      <c r="W27" s="16">
        <f>T27</f>
        <v>0.15208333333333332</v>
      </c>
      <c r="X27" s="16">
        <f>S28</f>
        <v>0.17152777777777778</v>
      </c>
      <c r="Y27" s="16"/>
      <c r="Z27" s="16"/>
      <c r="AA27" s="612"/>
      <c r="AB27" s="612"/>
      <c r="AC27" s="136">
        <v>6</v>
      </c>
      <c r="AD27" s="18"/>
      <c r="AE27" s="14">
        <f t="shared" si="8"/>
        <v>-96.969696969696997</v>
      </c>
      <c r="AF27" s="123">
        <f t="shared" si="9"/>
        <v>0.95959595959595956</v>
      </c>
      <c r="AG27" s="616">
        <f>AF33</f>
        <v>0.95693154580756357</v>
      </c>
    </row>
    <row r="28" spans="1:33" ht="15.75" customHeight="1">
      <c r="A28" s="633" t="s">
        <v>374</v>
      </c>
      <c r="B28" s="27" t="s">
        <v>20</v>
      </c>
      <c r="C28" s="659" t="s">
        <v>22</v>
      </c>
      <c r="D28" s="659"/>
      <c r="E28" s="27">
        <v>26.37</v>
      </c>
      <c r="F28" s="132">
        <v>4936</v>
      </c>
      <c r="G28" s="124">
        <f t="shared" si="23"/>
        <v>130162.32</v>
      </c>
      <c r="H28" s="31"/>
      <c r="I28" s="130">
        <v>18</v>
      </c>
      <c r="J28" s="29">
        <v>2400</v>
      </c>
      <c r="K28" s="12">
        <f t="shared" si="1"/>
        <v>133.33333333333334</v>
      </c>
      <c r="L28" s="130">
        <v>18</v>
      </c>
      <c r="M28" s="13">
        <f t="shared" si="24"/>
        <v>2295.8139534883717</v>
      </c>
      <c r="N28" s="12">
        <f t="shared" si="3"/>
        <v>127.54521963824287</v>
      </c>
      <c r="O28" s="14">
        <f t="shared" si="4"/>
        <v>0</v>
      </c>
      <c r="P28" s="15">
        <f t="shared" si="5"/>
        <v>-5.7881136950904732</v>
      </c>
      <c r="Q28" s="123">
        <f t="shared" si="6"/>
        <v>0.95658914728682143</v>
      </c>
      <c r="R28" s="616"/>
      <c r="S28" s="32">
        <v>0.17152777777777778</v>
      </c>
      <c r="T28" s="32">
        <v>0.26111111111111113</v>
      </c>
      <c r="U28" s="124">
        <f t="shared" ref="U28:U32" si="26">(S28-T27)*24*60</f>
        <v>28.000000000000021</v>
      </c>
      <c r="V28" s="131">
        <f t="shared" si="25"/>
        <v>129.00000000000003</v>
      </c>
      <c r="W28" s="16"/>
      <c r="X28" s="16"/>
      <c r="Y28" s="16"/>
      <c r="Z28" s="16"/>
      <c r="AA28" s="612"/>
      <c r="AB28" s="612"/>
      <c r="AC28" s="136"/>
      <c r="AD28" s="18"/>
      <c r="AE28" s="14">
        <f t="shared" si="8"/>
        <v>-104.18604651162832</v>
      </c>
      <c r="AF28" s="123">
        <f t="shared" si="9"/>
        <v>0.95658914728682154</v>
      </c>
      <c r="AG28" s="616"/>
    </row>
    <row r="29" spans="1:33" ht="15.75" customHeight="1">
      <c r="A29" s="633" t="s">
        <v>374</v>
      </c>
      <c r="B29" s="27" t="s">
        <v>20</v>
      </c>
      <c r="C29" s="659" t="s">
        <v>57</v>
      </c>
      <c r="D29" s="659"/>
      <c r="E29" s="27">
        <v>26.18</v>
      </c>
      <c r="F29" s="132">
        <v>6070</v>
      </c>
      <c r="G29" s="124">
        <f t="shared" si="23"/>
        <v>158912.6</v>
      </c>
      <c r="H29" s="31"/>
      <c r="I29" s="130">
        <v>18</v>
      </c>
      <c r="J29" s="29">
        <v>2400</v>
      </c>
      <c r="K29" s="12">
        <f t="shared" si="1"/>
        <v>133.33333333333334</v>
      </c>
      <c r="L29" s="130">
        <v>18</v>
      </c>
      <c r="M29" s="13">
        <f t="shared" si="24"/>
        <v>2290.566037735849</v>
      </c>
      <c r="N29" s="12">
        <f t="shared" si="3"/>
        <v>127.25366876310272</v>
      </c>
      <c r="O29" s="14">
        <f t="shared" si="4"/>
        <v>0</v>
      </c>
      <c r="P29" s="15">
        <f t="shared" si="5"/>
        <v>-6.0796645702306193</v>
      </c>
      <c r="Q29" s="123">
        <f t="shared" si="6"/>
        <v>0.95440251572327039</v>
      </c>
      <c r="R29" s="616"/>
      <c r="S29" s="32">
        <v>0.26666666666666666</v>
      </c>
      <c r="T29" s="32">
        <v>0.37708333333333333</v>
      </c>
      <c r="U29" s="124">
        <f t="shared" si="26"/>
        <v>7.9999999999999716</v>
      </c>
      <c r="V29" s="131">
        <f t="shared" si="25"/>
        <v>159</v>
      </c>
      <c r="W29" s="16"/>
      <c r="X29" s="16"/>
      <c r="Y29" s="16"/>
      <c r="Z29" s="16"/>
      <c r="AA29" s="612"/>
      <c r="AB29" s="612"/>
      <c r="AC29" s="136"/>
      <c r="AD29" s="18"/>
      <c r="AE29" s="14">
        <f t="shared" si="8"/>
        <v>-109.43396226415098</v>
      </c>
      <c r="AF29" s="123">
        <f t="shared" si="9"/>
        <v>0.95440251572327039</v>
      </c>
      <c r="AG29" s="616"/>
    </row>
    <row r="30" spans="1:33" ht="15.75" customHeight="1">
      <c r="A30" s="633" t="s">
        <v>374</v>
      </c>
      <c r="B30" s="27" t="s">
        <v>20</v>
      </c>
      <c r="C30" s="659" t="s">
        <v>64</v>
      </c>
      <c r="D30" s="659"/>
      <c r="E30" s="27">
        <v>20.21</v>
      </c>
      <c r="F30" s="132">
        <v>2602</v>
      </c>
      <c r="G30" s="124">
        <f t="shared" si="23"/>
        <v>52586.420000000006</v>
      </c>
      <c r="H30" s="31"/>
      <c r="I30" s="130">
        <v>18</v>
      </c>
      <c r="J30" s="29">
        <v>2400</v>
      </c>
      <c r="K30" s="12">
        <f t="shared" si="1"/>
        <v>133.33333333333334</v>
      </c>
      <c r="L30" s="130">
        <v>18</v>
      </c>
      <c r="M30" s="13">
        <f t="shared" si="24"/>
        <v>2295.8823529411766</v>
      </c>
      <c r="N30" s="12">
        <f t="shared" si="3"/>
        <v>127.54901960784315</v>
      </c>
      <c r="O30" s="14">
        <f t="shared" si="4"/>
        <v>0</v>
      </c>
      <c r="P30" s="15">
        <f t="shared" si="5"/>
        <v>-5.7843137254901933</v>
      </c>
      <c r="Q30" s="123">
        <f t="shared" si="6"/>
        <v>0.95661764705882357</v>
      </c>
      <c r="R30" s="616"/>
      <c r="S30" s="32">
        <v>0.38055555555555554</v>
      </c>
      <c r="T30" s="32">
        <v>0.42777777777777776</v>
      </c>
      <c r="U30" s="124">
        <f t="shared" si="26"/>
        <v>4.9999999999999822</v>
      </c>
      <c r="V30" s="131">
        <f t="shared" si="25"/>
        <v>68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-104.11764705882342</v>
      </c>
      <c r="AF30" s="123">
        <f t="shared" si="9"/>
        <v>0.95661764705882357</v>
      </c>
      <c r="AG30" s="616"/>
    </row>
    <row r="31" spans="1:33" ht="15.75" customHeight="1">
      <c r="A31" s="633" t="s">
        <v>374</v>
      </c>
      <c r="B31" s="27" t="s">
        <v>20</v>
      </c>
      <c r="C31" s="659" t="s">
        <v>23</v>
      </c>
      <c r="D31" s="659"/>
      <c r="E31" s="27">
        <v>25.99</v>
      </c>
      <c r="F31" s="132">
        <v>3334</v>
      </c>
      <c r="G31" s="124">
        <f t="shared" si="23"/>
        <v>86650.659999999989</v>
      </c>
      <c r="H31" s="31"/>
      <c r="I31" s="130">
        <v>14</v>
      </c>
      <c r="J31" s="29">
        <v>2400</v>
      </c>
      <c r="K31" s="12">
        <f t="shared" si="1"/>
        <v>171.42857142857142</v>
      </c>
      <c r="L31" s="130">
        <v>14</v>
      </c>
      <c r="M31" s="13">
        <f t="shared" si="24"/>
        <v>2299.3103448275856</v>
      </c>
      <c r="N31" s="12">
        <f t="shared" si="3"/>
        <v>164.23645320197039</v>
      </c>
      <c r="O31" s="14">
        <f t="shared" si="4"/>
        <v>0</v>
      </c>
      <c r="P31" s="15">
        <f t="shared" si="5"/>
        <v>-7.1921182266010248</v>
      </c>
      <c r="Q31" s="123">
        <f t="shared" si="6"/>
        <v>0.95804597701149397</v>
      </c>
      <c r="R31" s="616"/>
      <c r="S31" s="32">
        <v>0.43194444444444441</v>
      </c>
      <c r="T31" s="32">
        <v>0.49236111111111108</v>
      </c>
      <c r="U31" s="124">
        <f t="shared" si="26"/>
        <v>5.9999999999999787</v>
      </c>
      <c r="V31" s="131">
        <f t="shared" si="25"/>
        <v>87.000000000000014</v>
      </c>
      <c r="W31" s="16">
        <f>T31</f>
        <v>0.49236111111111108</v>
      </c>
      <c r="X31" s="16">
        <f>S32</f>
        <v>0.53194444444444444</v>
      </c>
      <c r="Y31" s="16"/>
      <c r="Z31" s="16"/>
      <c r="AA31" s="612"/>
      <c r="AB31" s="612"/>
      <c r="AC31" s="136"/>
      <c r="AD31" s="18"/>
      <c r="AE31" s="14">
        <f t="shared" si="8"/>
        <v>-100.6896551724144</v>
      </c>
      <c r="AF31" s="123">
        <f t="shared" si="9"/>
        <v>0.95804597701149397</v>
      </c>
      <c r="AG31" s="616"/>
    </row>
    <row r="32" spans="1:33" ht="15.75" customHeight="1">
      <c r="A32" s="633" t="s">
        <v>374</v>
      </c>
      <c r="B32" s="27" t="s">
        <v>20</v>
      </c>
      <c r="C32" s="659" t="s">
        <v>21</v>
      </c>
      <c r="D32" s="659"/>
      <c r="E32" s="27">
        <v>31.29</v>
      </c>
      <c r="F32" s="132">
        <v>2716</v>
      </c>
      <c r="G32" s="124">
        <f t="shared" si="23"/>
        <v>84983.64</v>
      </c>
      <c r="H32" s="31"/>
      <c r="I32" s="130">
        <v>18</v>
      </c>
      <c r="J32" s="29">
        <v>2400</v>
      </c>
      <c r="K32" s="12">
        <f t="shared" si="1"/>
        <v>133.33333333333334</v>
      </c>
      <c r="L32" s="130">
        <v>18</v>
      </c>
      <c r="M32" s="13">
        <f t="shared" si="24"/>
        <v>2295.2112676056313</v>
      </c>
      <c r="N32" s="12">
        <f t="shared" si="3"/>
        <v>127.51173708920174</v>
      </c>
      <c r="O32" s="14">
        <f t="shared" si="4"/>
        <v>0</v>
      </c>
      <c r="P32" s="15">
        <f t="shared" si="5"/>
        <v>-5.821596244131598</v>
      </c>
      <c r="Q32" s="123">
        <f t="shared" si="6"/>
        <v>0.95633802816901303</v>
      </c>
      <c r="R32" s="616"/>
      <c r="S32" s="32">
        <v>0.53194444444444444</v>
      </c>
      <c r="T32" s="32">
        <v>0.58125000000000004</v>
      </c>
      <c r="U32" s="124">
        <f t="shared" si="26"/>
        <v>57.000000000000036</v>
      </c>
      <c r="V32" s="131">
        <f t="shared" si="25"/>
        <v>71.000000000000071</v>
      </c>
      <c r="W32" s="16"/>
      <c r="X32" s="16"/>
      <c r="Y32" s="16"/>
      <c r="Z32" s="16"/>
      <c r="AA32" s="612"/>
      <c r="AB32" s="612"/>
      <c r="AC32" s="136"/>
      <c r="AD32" s="18"/>
      <c r="AE32" s="14">
        <f t="shared" si="8"/>
        <v>-104.78873239436871</v>
      </c>
      <c r="AF32" s="123">
        <f t="shared" si="9"/>
        <v>0.95633802816901303</v>
      </c>
      <c r="AG32" s="616"/>
    </row>
    <row r="33" spans="1:33" ht="15.75" customHeight="1">
      <c r="A33" s="633" t="s">
        <v>374</v>
      </c>
      <c r="B33" s="27" t="s">
        <v>70</v>
      </c>
      <c r="C33" s="658"/>
      <c r="D33" s="658"/>
      <c r="E33" s="125"/>
      <c r="F33" s="132"/>
      <c r="G33" s="124"/>
      <c r="H33" s="132"/>
      <c r="I33" s="21">
        <v>17.333333333333332</v>
      </c>
      <c r="J33" s="29">
        <v>2400</v>
      </c>
      <c r="K33" s="12">
        <f t="shared" si="1"/>
        <v>138.46153846153848</v>
      </c>
      <c r="L33" s="21">
        <v>17.333333333333332</v>
      </c>
      <c r="M33" s="13">
        <f>AVERAGE(M27:M32)</f>
        <v>2296.6357099381526</v>
      </c>
      <c r="N33" s="12">
        <f t="shared" si="3"/>
        <v>132.49821403489344</v>
      </c>
      <c r="O33" s="14">
        <f t="shared" si="4"/>
        <v>0</v>
      </c>
      <c r="P33" s="15">
        <f t="shared" si="5"/>
        <v>-5.9633244266450447</v>
      </c>
      <c r="Q33" s="123">
        <f t="shared" si="6"/>
        <v>0.95693154580756357</v>
      </c>
      <c r="R33" s="616"/>
      <c r="S33" s="32"/>
      <c r="T33" s="32"/>
      <c r="U33" s="124"/>
      <c r="V33" s="131"/>
      <c r="W33" s="124"/>
      <c r="X33" s="124"/>
      <c r="Y33" s="22">
        <f>SUM(Y27:Y32)</f>
        <v>0</v>
      </c>
      <c r="Z33" s="22">
        <f>SUM(Z27:Z32)</f>
        <v>0</v>
      </c>
      <c r="AA33" s="611"/>
      <c r="AB33" s="611"/>
      <c r="AC33" s="22">
        <v>6</v>
      </c>
      <c r="AD33" s="22">
        <f>SUM(AD27:AD32)</f>
        <v>0</v>
      </c>
      <c r="AE33" s="14">
        <f t="shared" si="8"/>
        <v>-103.36429006184744</v>
      </c>
      <c r="AF33" s="123">
        <f t="shared" si="9"/>
        <v>0.95693154580756357</v>
      </c>
      <c r="AG33" s="616"/>
    </row>
    <row r="34" spans="1:33" ht="15.75" customHeight="1">
      <c r="A34" s="629" t="s">
        <v>375</v>
      </c>
      <c r="B34" s="27" t="s">
        <v>20</v>
      </c>
      <c r="C34" s="660" t="s">
        <v>58</v>
      </c>
      <c r="D34" s="660"/>
      <c r="E34" s="27">
        <v>26.18</v>
      </c>
      <c r="F34" s="132">
        <v>4788</v>
      </c>
      <c r="G34" s="124">
        <f t="shared" ref="G34:G39" si="27">E34*F34</f>
        <v>125349.84</v>
      </c>
      <c r="H34" s="31"/>
      <c r="I34" s="130">
        <v>20</v>
      </c>
      <c r="J34" s="29">
        <v>2400</v>
      </c>
      <c r="K34" s="12">
        <f t="shared" si="1"/>
        <v>120</v>
      </c>
      <c r="L34" s="130">
        <v>20</v>
      </c>
      <c r="M34" s="13">
        <f t="shared" ref="M34:M39" si="28">F34/V34*60</f>
        <v>2280</v>
      </c>
      <c r="N34" s="12">
        <f t="shared" si="3"/>
        <v>114</v>
      </c>
      <c r="O34" s="14">
        <f t="shared" si="4"/>
        <v>0</v>
      </c>
      <c r="P34" s="15">
        <f t="shared" si="5"/>
        <v>-6</v>
      </c>
      <c r="Q34" s="123">
        <f t="shared" si="6"/>
        <v>0.95</v>
      </c>
      <c r="R34" s="616">
        <f>Q40</f>
        <v>0.95506523118207143</v>
      </c>
      <c r="S34" s="32">
        <v>8.3333333333333329E-2</v>
      </c>
      <c r="T34" s="32">
        <v>0.17083333333333334</v>
      </c>
      <c r="U34" s="124"/>
      <c r="V34" s="131">
        <f t="shared" ref="V34:V39" si="29">(T34-S34)*24*60</f>
        <v>126</v>
      </c>
      <c r="W34" s="20">
        <f>T34</f>
        <v>0.17083333333333334</v>
      </c>
      <c r="X34" s="20">
        <f>S35</f>
        <v>0.18888888888888888</v>
      </c>
      <c r="Y34" s="20"/>
      <c r="Z34" s="20"/>
      <c r="AA34" s="612"/>
      <c r="AB34" s="612"/>
      <c r="AC34" s="136">
        <v>6</v>
      </c>
      <c r="AD34" s="18"/>
      <c r="AE34" s="14">
        <f t="shared" si="8"/>
        <v>-120</v>
      </c>
      <c r="AF34" s="123">
        <f t="shared" si="9"/>
        <v>0.95</v>
      </c>
      <c r="AG34" s="616">
        <f>AF40</f>
        <v>0.95506523118207154</v>
      </c>
    </row>
    <row r="35" spans="1:33" ht="15.75" customHeight="1">
      <c r="A35" s="629" t="s">
        <v>375</v>
      </c>
      <c r="B35" s="27" t="s">
        <v>20</v>
      </c>
      <c r="C35" s="660" t="s">
        <v>25</v>
      </c>
      <c r="D35" s="660"/>
      <c r="E35" s="27">
        <v>24.43</v>
      </c>
      <c r="F35" s="132">
        <v>5274</v>
      </c>
      <c r="G35" s="124">
        <f t="shared" si="27"/>
        <v>128843.81999999999</v>
      </c>
      <c r="H35" s="31"/>
      <c r="I35" s="130">
        <v>14</v>
      </c>
      <c r="J35" s="29">
        <v>2400</v>
      </c>
      <c r="K35" s="12">
        <f t="shared" si="1"/>
        <v>171.42857142857142</v>
      </c>
      <c r="L35" s="130">
        <v>14</v>
      </c>
      <c r="M35" s="13">
        <f t="shared" si="28"/>
        <v>2293.0434782608695</v>
      </c>
      <c r="N35" s="12">
        <f t="shared" si="3"/>
        <v>163.7888198757764</v>
      </c>
      <c r="O35" s="14">
        <f t="shared" si="4"/>
        <v>0</v>
      </c>
      <c r="P35" s="15">
        <f t="shared" si="5"/>
        <v>-7.6397515527950191</v>
      </c>
      <c r="Q35" s="123">
        <f t="shared" si="6"/>
        <v>0.95543478260869574</v>
      </c>
      <c r="R35" s="616"/>
      <c r="S35" s="32">
        <v>0.18888888888888888</v>
      </c>
      <c r="T35" s="32">
        <v>0.28472222222222221</v>
      </c>
      <c r="U35" s="124">
        <f t="shared" ref="U35:U39" si="30">(S35-T34)*24*60</f>
        <v>25.999999999999986</v>
      </c>
      <c r="V35" s="131">
        <f t="shared" si="29"/>
        <v>138</v>
      </c>
      <c r="W35" s="124"/>
      <c r="X35" s="124"/>
      <c r="Y35" s="124"/>
      <c r="Z35" s="124"/>
      <c r="AA35" s="612"/>
      <c r="AB35" s="612"/>
      <c r="AC35" s="136"/>
      <c r="AD35" s="18"/>
      <c r="AE35" s="14">
        <f t="shared" si="8"/>
        <v>-106.95652173913049</v>
      </c>
      <c r="AF35" s="123">
        <f t="shared" si="9"/>
        <v>0.95543478260869563</v>
      </c>
      <c r="AG35" s="616"/>
    </row>
    <row r="36" spans="1:33">
      <c r="A36" s="630" t="s">
        <v>375</v>
      </c>
      <c r="B36" s="27" t="s">
        <v>20</v>
      </c>
      <c r="C36" s="660" t="s">
        <v>83</v>
      </c>
      <c r="D36" s="660"/>
      <c r="E36" s="27">
        <v>25.98</v>
      </c>
      <c r="F36" s="132">
        <v>4898</v>
      </c>
      <c r="G36" s="124">
        <f t="shared" si="27"/>
        <v>127250.04000000001</v>
      </c>
      <c r="H36" s="31"/>
      <c r="I36" s="130">
        <v>20</v>
      </c>
      <c r="J36" s="29">
        <v>2400</v>
      </c>
      <c r="K36" s="12">
        <f t="shared" si="1"/>
        <v>120</v>
      </c>
      <c r="L36" s="130">
        <v>20</v>
      </c>
      <c r="M36" s="13">
        <f t="shared" si="28"/>
        <v>2295.9374999999995</v>
      </c>
      <c r="N36" s="12">
        <f t="shared" si="3"/>
        <v>114.79687499999997</v>
      </c>
      <c r="O36" s="14">
        <f t="shared" si="4"/>
        <v>0</v>
      </c>
      <c r="P36" s="15">
        <f t="shared" si="5"/>
        <v>-5.2031250000000284</v>
      </c>
      <c r="Q36" s="123">
        <f t="shared" si="6"/>
        <v>0.9566406249999998</v>
      </c>
      <c r="R36" s="616"/>
      <c r="S36" s="32">
        <v>0.28888888888888886</v>
      </c>
      <c r="T36" s="32">
        <v>0.37777777777777777</v>
      </c>
      <c r="U36" s="124">
        <f t="shared" si="30"/>
        <v>5.9999999999999787</v>
      </c>
      <c r="V36" s="131">
        <f t="shared" si="29"/>
        <v>128.00000000000003</v>
      </c>
      <c r="W36" s="124"/>
      <c r="X36" s="124"/>
      <c r="Y36" s="124"/>
      <c r="Z36" s="124"/>
      <c r="AA36" s="612"/>
      <c r="AB36" s="612"/>
      <c r="AC36" s="136"/>
      <c r="AD36" s="18"/>
      <c r="AE36" s="14">
        <f t="shared" si="8"/>
        <v>-104.06250000000045</v>
      </c>
      <c r="AF36" s="123">
        <f t="shared" si="9"/>
        <v>0.9566406249999998</v>
      </c>
      <c r="AG36" s="616"/>
    </row>
    <row r="37" spans="1:33">
      <c r="A37" s="630" t="s">
        <v>375</v>
      </c>
      <c r="B37" s="27" t="s">
        <v>20</v>
      </c>
      <c r="C37" s="660" t="s">
        <v>26</v>
      </c>
      <c r="D37" s="660"/>
      <c r="E37" s="27">
        <v>34.1</v>
      </c>
      <c r="F37" s="132">
        <v>2900</v>
      </c>
      <c r="G37" s="124">
        <f t="shared" si="27"/>
        <v>98890</v>
      </c>
      <c r="H37" s="31">
        <v>2</v>
      </c>
      <c r="I37" s="130">
        <v>17</v>
      </c>
      <c r="J37" s="29">
        <v>1600</v>
      </c>
      <c r="K37" s="12">
        <f t="shared" si="1"/>
        <v>94.117647058823536</v>
      </c>
      <c r="L37" s="130">
        <v>17</v>
      </c>
      <c r="M37" s="13">
        <f t="shared" si="28"/>
        <v>1526.3157894736842</v>
      </c>
      <c r="N37" s="12">
        <f t="shared" si="3"/>
        <v>89.783281733746122</v>
      </c>
      <c r="O37" s="14">
        <f t="shared" si="4"/>
        <v>0</v>
      </c>
      <c r="P37" s="15">
        <f t="shared" si="5"/>
        <v>-4.3343653250774139</v>
      </c>
      <c r="Q37" s="123">
        <f t="shared" si="6"/>
        <v>0.95394736842105243</v>
      </c>
      <c r="R37" s="616"/>
      <c r="S37" s="32">
        <v>0.38194444444444442</v>
      </c>
      <c r="T37" s="32">
        <v>0.46111111111111108</v>
      </c>
      <c r="U37" s="124">
        <f t="shared" si="30"/>
        <v>5.9999999999999787</v>
      </c>
      <c r="V37" s="131">
        <f t="shared" si="29"/>
        <v>114</v>
      </c>
      <c r="W37" s="16"/>
      <c r="X37" s="16"/>
      <c r="Y37" s="16"/>
      <c r="Z37" s="16"/>
      <c r="AA37" s="612"/>
      <c r="AB37" s="612"/>
      <c r="AC37" s="136"/>
      <c r="AD37" s="18"/>
      <c r="AE37" s="14">
        <f t="shared" si="8"/>
        <v>-73.684210526315837</v>
      </c>
      <c r="AF37" s="123">
        <f t="shared" si="9"/>
        <v>0.95394736842105265</v>
      </c>
      <c r="AG37" s="616"/>
    </row>
    <row r="38" spans="1:33">
      <c r="A38" s="630" t="s">
        <v>375</v>
      </c>
      <c r="B38" s="27" t="s">
        <v>20</v>
      </c>
      <c r="C38" s="660" t="s">
        <v>37</v>
      </c>
      <c r="D38" s="660"/>
      <c r="E38" s="27">
        <v>20.21</v>
      </c>
      <c r="F38" s="132">
        <v>2569</v>
      </c>
      <c r="G38" s="124">
        <f t="shared" si="27"/>
        <v>51919.490000000005</v>
      </c>
      <c r="H38" s="31"/>
      <c r="I38" s="130">
        <v>15</v>
      </c>
      <c r="J38" s="29">
        <v>2400</v>
      </c>
      <c r="K38" s="12">
        <f t="shared" si="1"/>
        <v>160</v>
      </c>
      <c r="L38" s="130">
        <v>15</v>
      </c>
      <c r="M38" s="13">
        <f t="shared" si="28"/>
        <v>2300.5970149253735</v>
      </c>
      <c r="N38" s="12">
        <f t="shared" si="3"/>
        <v>153.37313432835825</v>
      </c>
      <c r="O38" s="14">
        <f t="shared" si="4"/>
        <v>0</v>
      </c>
      <c r="P38" s="15">
        <f t="shared" si="5"/>
        <v>-6.6268656716417524</v>
      </c>
      <c r="Q38" s="123">
        <f t="shared" si="6"/>
        <v>0.958582089552239</v>
      </c>
      <c r="R38" s="616"/>
      <c r="S38" s="32">
        <v>0.46597222222222218</v>
      </c>
      <c r="T38" s="32">
        <v>0.51249999999999996</v>
      </c>
      <c r="U38" s="124">
        <f t="shared" si="30"/>
        <v>6.9999999999999751</v>
      </c>
      <c r="V38" s="131">
        <f t="shared" si="29"/>
        <v>67</v>
      </c>
      <c r="W38" s="16">
        <f>T38</f>
        <v>0.51249999999999996</v>
      </c>
      <c r="X38" s="16">
        <f>S39</f>
        <v>0.5527777777777777</v>
      </c>
      <c r="Y38" s="16"/>
      <c r="Z38" s="16"/>
      <c r="AA38" s="612"/>
      <c r="AB38" s="612"/>
      <c r="AC38" s="136"/>
      <c r="AD38" s="18"/>
      <c r="AE38" s="14">
        <f t="shared" si="8"/>
        <v>-99.402985074626486</v>
      </c>
      <c r="AF38" s="123">
        <f t="shared" si="9"/>
        <v>0.958582089552239</v>
      </c>
      <c r="AG38" s="616"/>
    </row>
    <row r="39" spans="1:33">
      <c r="A39" s="630" t="s">
        <v>375</v>
      </c>
      <c r="B39" s="27" t="s">
        <v>20</v>
      </c>
      <c r="C39" s="660" t="s">
        <v>26</v>
      </c>
      <c r="D39" s="660"/>
      <c r="E39" s="27">
        <v>34.1</v>
      </c>
      <c r="F39" s="132">
        <v>2166</v>
      </c>
      <c r="G39" s="124">
        <f t="shared" si="27"/>
        <v>73860.600000000006</v>
      </c>
      <c r="H39" s="31"/>
      <c r="I39" s="130">
        <v>17</v>
      </c>
      <c r="J39" s="29">
        <v>1600</v>
      </c>
      <c r="K39" s="12">
        <f t="shared" si="1"/>
        <v>94.117647058823536</v>
      </c>
      <c r="L39" s="130">
        <v>17</v>
      </c>
      <c r="M39" s="13">
        <f t="shared" si="28"/>
        <v>1528.9411764705878</v>
      </c>
      <c r="N39" s="12">
        <f t="shared" si="3"/>
        <v>89.937716262975755</v>
      </c>
      <c r="O39" s="14">
        <f t="shared" si="4"/>
        <v>0</v>
      </c>
      <c r="P39" s="15">
        <f t="shared" si="5"/>
        <v>-4.1799307958477812</v>
      </c>
      <c r="Q39" s="123">
        <f t="shared" si="6"/>
        <v>0.95558823529411729</v>
      </c>
      <c r="R39" s="616"/>
      <c r="S39" s="32">
        <v>0.5527777777777777</v>
      </c>
      <c r="T39" s="32">
        <v>0.61180555555555549</v>
      </c>
      <c r="U39" s="124">
        <f t="shared" si="30"/>
        <v>57.999999999999957</v>
      </c>
      <c r="V39" s="131">
        <f t="shared" si="29"/>
        <v>85.000000000000014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-71.058823529412166</v>
      </c>
      <c r="AF39" s="123">
        <f t="shared" si="9"/>
        <v>0.95558823529411741</v>
      </c>
      <c r="AG39" s="616"/>
    </row>
    <row r="40" spans="1:33">
      <c r="A40" s="630" t="s">
        <v>375</v>
      </c>
      <c r="B40" s="28" t="s">
        <v>70</v>
      </c>
      <c r="C40" s="658"/>
      <c r="D40" s="658"/>
      <c r="E40" s="125"/>
      <c r="F40" s="28"/>
      <c r="G40" s="12"/>
      <c r="H40" s="132"/>
      <c r="I40" s="21">
        <v>17.166666666666668</v>
      </c>
      <c r="J40" s="29">
        <v>2133.3333333333335</v>
      </c>
      <c r="K40" s="12">
        <f t="shared" si="1"/>
        <v>124.27184466019418</v>
      </c>
      <c r="L40" s="21">
        <v>17.166666666666668</v>
      </c>
      <c r="M40" s="13">
        <f>AVERAGE(M34:M39)</f>
        <v>2037.4724931884193</v>
      </c>
      <c r="N40" s="12">
        <f t="shared" si="3"/>
        <v>118.68771804981083</v>
      </c>
      <c r="O40" s="14">
        <f t="shared" si="4"/>
        <v>0</v>
      </c>
      <c r="P40" s="15">
        <f t="shared" si="5"/>
        <v>-5.5841266103833505</v>
      </c>
      <c r="Q40" s="123">
        <f t="shared" si="6"/>
        <v>0.95506523118207143</v>
      </c>
      <c r="R40" s="616"/>
      <c r="S40" s="32"/>
      <c r="T40" s="32"/>
      <c r="U40" s="12"/>
      <c r="V40" s="131"/>
      <c r="W40" s="12"/>
      <c r="X40" s="12"/>
      <c r="Y40" s="22">
        <f>SUM(Y34:Y39)</f>
        <v>0</v>
      </c>
      <c r="Z40" s="22">
        <f>SUM(Z34:Z39)</f>
        <v>0</v>
      </c>
      <c r="AA40" s="611"/>
      <c r="AB40" s="611"/>
      <c r="AC40" s="22">
        <v>6</v>
      </c>
      <c r="AD40" s="22">
        <f>SUM(AD34:AD39)</f>
        <v>0</v>
      </c>
      <c r="AE40" s="14">
        <f t="shared" si="8"/>
        <v>-95.860840144914164</v>
      </c>
      <c r="AF40" s="123">
        <f t="shared" si="9"/>
        <v>0.95506523118207154</v>
      </c>
      <c r="AG40" s="616"/>
    </row>
    <row r="41" spans="1:33" ht="15.75" customHeight="1">
      <c r="A41" s="623" t="s">
        <v>75</v>
      </c>
      <c r="B41" s="27" t="s">
        <v>27</v>
      </c>
      <c r="C41" s="605" t="s">
        <v>33</v>
      </c>
      <c r="D41" s="606"/>
      <c r="E41" s="27">
        <v>34.36</v>
      </c>
      <c r="F41" s="132">
        <v>1862</v>
      </c>
      <c r="G41" s="124">
        <f t="shared" ref="G41:G43" si="31">E41*F41</f>
        <v>63978.32</v>
      </c>
      <c r="H41" s="31"/>
      <c r="I41" s="130">
        <v>10</v>
      </c>
      <c r="J41" s="29">
        <v>3000</v>
      </c>
      <c r="K41" s="12">
        <f t="shared" si="1"/>
        <v>300</v>
      </c>
      <c r="L41" s="130">
        <v>10</v>
      </c>
      <c r="M41" s="13">
        <f t="shared" ref="M41:M43" si="32">F41/V41*60</f>
        <v>2864.6153846153866</v>
      </c>
      <c r="N41" s="13">
        <f t="shared" si="3"/>
        <v>286.46153846153868</v>
      </c>
      <c r="O41" s="14">
        <f t="shared" si="4"/>
        <v>0</v>
      </c>
      <c r="P41" s="15">
        <f t="shared" si="5"/>
        <v>-13.53846153846132</v>
      </c>
      <c r="Q41" s="123">
        <f t="shared" si="6"/>
        <v>0.95487179487179563</v>
      </c>
      <c r="R41" s="626">
        <f>Q44</f>
        <v>0.95422270850842328</v>
      </c>
      <c r="S41" s="32">
        <v>0.20833333333333334</v>
      </c>
      <c r="T41" s="32">
        <v>0.23541666666666666</v>
      </c>
      <c r="U41" s="20"/>
      <c r="V41" s="131">
        <f t="shared" ref="V41:V43" si="33">(T41-S41)*24*60</f>
        <v>38.999999999999979</v>
      </c>
      <c r="W41" s="16"/>
      <c r="X41" s="16"/>
      <c r="Y41" s="19"/>
      <c r="Z41" s="19"/>
      <c r="AA41" s="607"/>
      <c r="AB41" s="608"/>
      <c r="AC41" s="136">
        <v>3</v>
      </c>
      <c r="AD41" s="18"/>
      <c r="AE41" s="14">
        <f t="shared" si="8"/>
        <v>-135.38461538461343</v>
      </c>
      <c r="AF41" s="123">
        <f t="shared" si="9"/>
        <v>0.95487179487179552</v>
      </c>
      <c r="AG41" s="626">
        <f>AF44</f>
        <v>0.95422270850842328</v>
      </c>
    </row>
    <row r="42" spans="1:33" ht="15.75" customHeight="1">
      <c r="A42" s="624" t="s">
        <v>75</v>
      </c>
      <c r="B42" s="27" t="s">
        <v>27</v>
      </c>
      <c r="C42" s="605" t="s">
        <v>29</v>
      </c>
      <c r="D42" s="606"/>
      <c r="E42" s="27">
        <v>21.13</v>
      </c>
      <c r="F42" s="132">
        <v>4732</v>
      </c>
      <c r="G42" s="124">
        <f t="shared" si="31"/>
        <v>99987.159999999989</v>
      </c>
      <c r="H42" s="31"/>
      <c r="I42" s="130">
        <v>10</v>
      </c>
      <c r="J42" s="29">
        <v>3000</v>
      </c>
      <c r="K42" s="12">
        <f t="shared" si="1"/>
        <v>300</v>
      </c>
      <c r="L42" s="130">
        <v>10</v>
      </c>
      <c r="M42" s="13">
        <f t="shared" si="32"/>
        <v>2867.8787878787875</v>
      </c>
      <c r="N42" s="13">
        <f t="shared" si="3"/>
        <v>286.78787878787875</v>
      </c>
      <c r="O42" s="14">
        <f t="shared" si="4"/>
        <v>0</v>
      </c>
      <c r="P42" s="15">
        <f t="shared" si="5"/>
        <v>-13.212121212121247</v>
      </c>
      <c r="Q42" s="123">
        <f t="shared" si="6"/>
        <v>0.9559595959595959</v>
      </c>
      <c r="R42" s="627"/>
      <c r="S42" s="32">
        <v>0.24027777777777778</v>
      </c>
      <c r="T42" s="32">
        <v>0.30902777777777779</v>
      </c>
      <c r="U42" s="124">
        <f t="shared" ref="U42:U43" si="34">(S42-T41)*24*60</f>
        <v>7.0000000000000151</v>
      </c>
      <c r="V42" s="131">
        <f t="shared" si="33"/>
        <v>99.000000000000014</v>
      </c>
      <c r="W42" s="16"/>
      <c r="X42" s="16"/>
      <c r="Y42" s="19"/>
      <c r="Z42" s="19"/>
      <c r="AA42" s="607"/>
      <c r="AB42" s="608"/>
      <c r="AC42" s="136"/>
      <c r="AD42" s="18"/>
      <c r="AE42" s="14">
        <f t="shared" si="8"/>
        <v>-132.12121212121247</v>
      </c>
      <c r="AF42" s="123">
        <f t="shared" si="9"/>
        <v>0.9559595959595959</v>
      </c>
      <c r="AG42" s="627"/>
    </row>
    <row r="43" spans="1:33" ht="15.75" customHeight="1">
      <c r="A43" s="624" t="s">
        <v>75</v>
      </c>
      <c r="B43" s="27" t="s">
        <v>27</v>
      </c>
      <c r="C43" s="605" t="s">
        <v>30</v>
      </c>
      <c r="D43" s="606"/>
      <c r="E43" s="27">
        <v>27.17</v>
      </c>
      <c r="F43" s="132">
        <v>4664</v>
      </c>
      <c r="G43" s="124">
        <f t="shared" si="31"/>
        <v>126720.88</v>
      </c>
      <c r="H43" s="31"/>
      <c r="I43" s="130">
        <v>10</v>
      </c>
      <c r="J43" s="29">
        <v>3000</v>
      </c>
      <c r="K43" s="12">
        <f t="shared" si="1"/>
        <v>300</v>
      </c>
      <c r="L43" s="130">
        <v>10</v>
      </c>
      <c r="M43" s="13">
        <f t="shared" si="32"/>
        <v>2855.5102040816337</v>
      </c>
      <c r="N43" s="13">
        <f t="shared" si="3"/>
        <v>285.55102040816337</v>
      </c>
      <c r="O43" s="14">
        <f t="shared" si="4"/>
        <v>0</v>
      </c>
      <c r="P43" s="15">
        <f t="shared" si="5"/>
        <v>-14.448979591836633</v>
      </c>
      <c r="Q43" s="123">
        <f t="shared" si="6"/>
        <v>0.95183673469387786</v>
      </c>
      <c r="R43" s="627"/>
      <c r="S43" s="32">
        <v>0.31388888888888888</v>
      </c>
      <c r="T43" s="32">
        <v>0.38194444444444442</v>
      </c>
      <c r="U43" s="124">
        <f t="shared" si="34"/>
        <v>6.9999999999999751</v>
      </c>
      <c r="V43" s="131">
        <f t="shared" si="33"/>
        <v>97.999999999999972</v>
      </c>
      <c r="W43" s="16"/>
      <c r="X43" s="16"/>
      <c r="Y43" s="19"/>
      <c r="Z43" s="19"/>
      <c r="AA43" s="607"/>
      <c r="AB43" s="608"/>
      <c r="AC43" s="136"/>
      <c r="AD43" s="18"/>
      <c r="AE43" s="14">
        <f t="shared" si="8"/>
        <v>-144.48979591836633</v>
      </c>
      <c r="AF43" s="123">
        <f t="shared" si="9"/>
        <v>0.95183673469387786</v>
      </c>
      <c r="AG43" s="627"/>
    </row>
    <row r="44" spans="1:33" ht="15.75" customHeight="1">
      <c r="A44" s="625" t="s">
        <v>75</v>
      </c>
      <c r="B44" s="27" t="s">
        <v>70</v>
      </c>
      <c r="C44" s="609"/>
      <c r="D44" s="610"/>
      <c r="E44" s="121"/>
      <c r="F44" s="132"/>
      <c r="G44" s="124"/>
      <c r="H44" s="132"/>
      <c r="I44" s="21">
        <v>10</v>
      </c>
      <c r="J44" s="29">
        <v>3000</v>
      </c>
      <c r="K44" s="12">
        <f t="shared" si="1"/>
        <v>300</v>
      </c>
      <c r="L44" s="21">
        <v>10</v>
      </c>
      <c r="M44" s="13">
        <f>AVERAGE(M41:M43)</f>
        <v>2862.6681255252697</v>
      </c>
      <c r="N44" s="12">
        <f t="shared" si="3"/>
        <v>286.26681255252697</v>
      </c>
      <c r="O44" s="14">
        <f t="shared" si="4"/>
        <v>0</v>
      </c>
      <c r="P44" s="15">
        <f t="shared" si="5"/>
        <v>-13.733187447473028</v>
      </c>
      <c r="Q44" s="123">
        <f t="shared" si="6"/>
        <v>0.95422270850842328</v>
      </c>
      <c r="R44" s="628"/>
      <c r="S44" s="32"/>
      <c r="T44" s="32"/>
      <c r="U44" s="124"/>
      <c r="V44" s="131"/>
      <c r="W44" s="16"/>
      <c r="X44" s="16"/>
      <c r="Y44" s="22">
        <f>SUM(Y41:Y43)</f>
        <v>0</v>
      </c>
      <c r="Z44" s="22">
        <f>SUM(Z41:Z43)</f>
        <v>0</v>
      </c>
      <c r="AA44" s="619"/>
      <c r="AB44" s="620"/>
      <c r="AC44" s="22">
        <v>3</v>
      </c>
      <c r="AD44" s="22">
        <f>SUM(AD41:AD43)</f>
        <v>0</v>
      </c>
      <c r="AE44" s="14">
        <f t="shared" si="8"/>
        <v>-137.33187447473028</v>
      </c>
      <c r="AF44" s="123">
        <f t="shared" si="9"/>
        <v>0.95422270850842328</v>
      </c>
      <c r="AG44" s="628"/>
    </row>
    <row r="45" spans="1:33" ht="15.75" customHeight="1">
      <c r="A45" s="621" t="s">
        <v>71</v>
      </c>
      <c r="B45" s="27" t="s">
        <v>5</v>
      </c>
      <c r="C45" s="660" t="s">
        <v>15</v>
      </c>
      <c r="D45" s="660"/>
      <c r="E45" s="27">
        <v>59.04</v>
      </c>
      <c r="F45" s="30">
        <v>1762</v>
      </c>
      <c r="G45" s="124">
        <f t="shared" ref="G45:G51" si="35">E45*F45</f>
        <v>104028.48</v>
      </c>
      <c r="H45" s="31"/>
      <c r="I45" s="130">
        <v>19</v>
      </c>
      <c r="J45" s="29">
        <v>2000</v>
      </c>
      <c r="K45" s="12">
        <f t="shared" si="1"/>
        <v>105.26315789473684</v>
      </c>
      <c r="L45" s="130">
        <v>19</v>
      </c>
      <c r="M45" s="13">
        <f t="shared" ref="M45" si="36">F45/V45*60</f>
        <v>1922.181818181818</v>
      </c>
      <c r="N45" s="13">
        <f t="shared" si="3"/>
        <v>101.16746411483253</v>
      </c>
      <c r="O45" s="14">
        <f t="shared" si="4"/>
        <v>0</v>
      </c>
      <c r="P45" s="15">
        <f t="shared" si="5"/>
        <v>-4.0956937799043089</v>
      </c>
      <c r="Q45" s="123">
        <f t="shared" si="6"/>
        <v>0.96109090909090911</v>
      </c>
      <c r="R45" s="616">
        <f>Q52</f>
        <v>0.96425556586270877</v>
      </c>
      <c r="S45" s="32">
        <v>0.20833333333333334</v>
      </c>
      <c r="T45" s="32">
        <v>0.24652777777777779</v>
      </c>
      <c r="U45" s="20"/>
      <c r="V45" s="131">
        <f t="shared" ref="V45:V51" si="37">(T45-S45)*24*60</f>
        <v>55.000000000000007</v>
      </c>
      <c r="W45" s="16"/>
      <c r="X45" s="16"/>
      <c r="Y45" s="20"/>
      <c r="Z45" s="20"/>
      <c r="AA45" s="612"/>
      <c r="AB45" s="612"/>
      <c r="AC45" s="136">
        <v>7</v>
      </c>
      <c r="AD45" s="18"/>
      <c r="AE45" s="14">
        <f t="shared" si="8"/>
        <v>-77.818181818181984</v>
      </c>
      <c r="AF45" s="123">
        <f t="shared" si="9"/>
        <v>0.961090909090909</v>
      </c>
      <c r="AG45" s="616">
        <f>AF52</f>
        <v>0.96425556586270877</v>
      </c>
    </row>
    <row r="46" spans="1:33" ht="15.75" customHeight="1">
      <c r="A46" s="621" t="s">
        <v>71</v>
      </c>
      <c r="B46" s="27" t="s">
        <v>5</v>
      </c>
      <c r="C46" s="660" t="s">
        <v>31</v>
      </c>
      <c r="D46" s="660"/>
      <c r="E46" s="27">
        <v>56.43</v>
      </c>
      <c r="F46" s="30">
        <v>1066</v>
      </c>
      <c r="G46" s="124">
        <f t="shared" si="35"/>
        <v>60154.38</v>
      </c>
      <c r="H46" s="31"/>
      <c r="I46" s="130">
        <v>22</v>
      </c>
      <c r="J46" s="29">
        <v>2000</v>
      </c>
      <c r="K46" s="12">
        <f t="shared" si="1"/>
        <v>90.909090909090907</v>
      </c>
      <c r="L46" s="130">
        <v>22</v>
      </c>
      <c r="M46" s="13">
        <f>F46/V46*60</f>
        <v>1938.1818181818157</v>
      </c>
      <c r="N46" s="13">
        <f t="shared" si="3"/>
        <v>88.099173553718899</v>
      </c>
      <c r="O46" s="14">
        <f t="shared" si="4"/>
        <v>0</v>
      </c>
      <c r="P46" s="15">
        <f t="shared" si="5"/>
        <v>-2.8099173553720078</v>
      </c>
      <c r="Q46" s="123">
        <f t="shared" si="6"/>
        <v>0.96909090909090789</v>
      </c>
      <c r="R46" s="616"/>
      <c r="S46" s="32">
        <v>0.25069444444444444</v>
      </c>
      <c r="T46" s="32">
        <v>0.27361111111111114</v>
      </c>
      <c r="U46" s="124">
        <f t="shared" ref="U46:U51" si="38">IF(S46=TIME(17,0,0),"",(S46-T45)*24*60)</f>
        <v>5.9999999999999787</v>
      </c>
      <c r="V46" s="131">
        <f t="shared" si="37"/>
        <v>33.000000000000043</v>
      </c>
      <c r="W46" s="16"/>
      <c r="X46" s="16"/>
      <c r="Y46" s="16"/>
      <c r="Z46" s="16"/>
      <c r="AA46" s="612"/>
      <c r="AB46" s="612"/>
      <c r="AC46" s="136"/>
      <c r="AD46" s="18"/>
      <c r="AE46" s="14">
        <f t="shared" si="8"/>
        <v>-61.818181818184257</v>
      </c>
      <c r="AF46" s="123">
        <f t="shared" si="9"/>
        <v>0.96909090909090789</v>
      </c>
      <c r="AG46" s="616"/>
    </row>
    <row r="47" spans="1:33" ht="15.75" customHeight="1">
      <c r="A47" s="621" t="s">
        <v>71</v>
      </c>
      <c r="B47" s="27" t="s">
        <v>8</v>
      </c>
      <c r="C47" s="605" t="s">
        <v>61</v>
      </c>
      <c r="D47" s="606"/>
      <c r="E47" s="27">
        <v>46</v>
      </c>
      <c r="F47" s="30">
        <v>2250</v>
      </c>
      <c r="G47" s="124">
        <f t="shared" si="35"/>
        <v>103500</v>
      </c>
      <c r="H47" s="31"/>
      <c r="I47" s="130">
        <v>16</v>
      </c>
      <c r="J47" s="29">
        <v>2000</v>
      </c>
      <c r="K47" s="12">
        <f t="shared" si="1"/>
        <v>125</v>
      </c>
      <c r="L47" s="130">
        <v>16</v>
      </c>
      <c r="M47" s="13">
        <f t="shared" ref="M47:M51" si="39">F47/V47*60</f>
        <v>1928.5714285714287</v>
      </c>
      <c r="N47" s="13">
        <f t="shared" si="3"/>
        <v>120.53571428571429</v>
      </c>
      <c r="O47" s="14">
        <f t="shared" si="4"/>
        <v>0</v>
      </c>
      <c r="P47" s="15">
        <f t="shared" si="5"/>
        <v>-4.4642857142857082</v>
      </c>
      <c r="Q47" s="123">
        <f t="shared" si="6"/>
        <v>0.9642857142857143</v>
      </c>
      <c r="R47" s="616"/>
      <c r="S47" s="32">
        <v>0.27916666666666667</v>
      </c>
      <c r="T47" s="32">
        <v>0.32777777777777778</v>
      </c>
      <c r="U47" s="124">
        <f t="shared" si="38"/>
        <v>7.9999999999999716</v>
      </c>
      <c r="V47" s="131">
        <f t="shared" si="37"/>
        <v>69.999999999999986</v>
      </c>
      <c r="W47" s="16"/>
      <c r="X47" s="16"/>
      <c r="Y47" s="19"/>
      <c r="Z47" s="19"/>
      <c r="AA47" s="612"/>
      <c r="AB47" s="612"/>
      <c r="AC47" s="136"/>
      <c r="AD47" s="18"/>
      <c r="AE47" s="14">
        <f t="shared" si="8"/>
        <v>-71.428571428571331</v>
      </c>
      <c r="AF47" s="123">
        <f t="shared" si="9"/>
        <v>0.9642857142857143</v>
      </c>
      <c r="AG47" s="616"/>
    </row>
    <row r="48" spans="1:33" ht="15.75" customHeight="1">
      <c r="A48" s="621" t="s">
        <v>71</v>
      </c>
      <c r="B48" s="27" t="s">
        <v>8</v>
      </c>
      <c r="C48" s="126" t="s">
        <v>79</v>
      </c>
      <c r="D48" s="127"/>
      <c r="E48" s="27">
        <v>46</v>
      </c>
      <c r="F48" s="30">
        <v>3040</v>
      </c>
      <c r="G48" s="124">
        <f t="shared" si="35"/>
        <v>139840</v>
      </c>
      <c r="H48" s="31"/>
      <c r="I48" s="130">
        <v>17</v>
      </c>
      <c r="J48" s="29">
        <v>2000</v>
      </c>
      <c r="K48" s="12">
        <f t="shared" si="1"/>
        <v>117.64705882352941</v>
      </c>
      <c r="L48" s="130">
        <v>17</v>
      </c>
      <c r="M48" s="13">
        <f t="shared" si="39"/>
        <v>1920.0000000000005</v>
      </c>
      <c r="N48" s="13">
        <f t="shared" si="3"/>
        <v>112.94117647058826</v>
      </c>
      <c r="O48" s="14">
        <f t="shared" si="4"/>
        <v>0</v>
      </c>
      <c r="P48" s="15">
        <f t="shared" si="5"/>
        <v>-4.7058823529411455</v>
      </c>
      <c r="Q48" s="123">
        <f t="shared" si="6"/>
        <v>0.9600000000000003</v>
      </c>
      <c r="R48" s="616"/>
      <c r="S48" s="32">
        <v>0.33263888888888887</v>
      </c>
      <c r="T48" s="32">
        <v>0.39861111111111108</v>
      </c>
      <c r="U48" s="124">
        <f t="shared" si="38"/>
        <v>6.9999999999999751</v>
      </c>
      <c r="V48" s="131">
        <f t="shared" si="37"/>
        <v>94.999999999999986</v>
      </c>
      <c r="W48" s="16"/>
      <c r="X48" s="16"/>
      <c r="Y48" s="19"/>
      <c r="Z48" s="19"/>
      <c r="AA48" s="612"/>
      <c r="AB48" s="612"/>
      <c r="AC48" s="136"/>
      <c r="AD48" s="18"/>
      <c r="AE48" s="14">
        <f t="shared" si="8"/>
        <v>-79.999999999999545</v>
      </c>
      <c r="AF48" s="123">
        <f t="shared" si="9"/>
        <v>0.96000000000000019</v>
      </c>
      <c r="AG48" s="616"/>
    </row>
    <row r="49" spans="1:33" ht="15.75" customHeight="1">
      <c r="A49" s="621" t="s">
        <v>71</v>
      </c>
      <c r="B49" s="27" t="s">
        <v>5</v>
      </c>
      <c r="C49" s="126" t="s">
        <v>32</v>
      </c>
      <c r="D49" s="127"/>
      <c r="E49" s="27">
        <v>55.56</v>
      </c>
      <c r="F49" s="30">
        <v>1908</v>
      </c>
      <c r="G49" s="124">
        <f t="shared" si="35"/>
        <v>106008.48000000001</v>
      </c>
      <c r="H49" s="31"/>
      <c r="I49" s="130">
        <v>17</v>
      </c>
      <c r="J49" s="29">
        <v>2000</v>
      </c>
      <c r="K49" s="12">
        <f t="shared" si="1"/>
        <v>117.64705882352941</v>
      </c>
      <c r="L49" s="130">
        <v>17</v>
      </c>
      <c r="M49" s="13">
        <f t="shared" si="39"/>
        <v>1908.0000000000018</v>
      </c>
      <c r="N49" s="13">
        <f t="shared" si="3"/>
        <v>112.23529411764717</v>
      </c>
      <c r="O49" s="14">
        <f t="shared" si="4"/>
        <v>0</v>
      </c>
      <c r="P49" s="15">
        <f t="shared" si="5"/>
        <v>-5.4117647058822342</v>
      </c>
      <c r="Q49" s="123">
        <f t="shared" si="6"/>
        <v>0.95400000000000096</v>
      </c>
      <c r="R49" s="616"/>
      <c r="S49" s="32">
        <v>0.70833333333333337</v>
      </c>
      <c r="T49" s="32">
        <v>0.75</v>
      </c>
      <c r="U49" s="124" t="str">
        <f t="shared" si="38"/>
        <v/>
      </c>
      <c r="V49" s="131">
        <f t="shared" si="37"/>
        <v>59.999999999999943</v>
      </c>
      <c r="W49" s="16"/>
      <c r="X49" s="16"/>
      <c r="Y49" s="19"/>
      <c r="Z49" s="19"/>
      <c r="AA49" s="612"/>
      <c r="AB49" s="612"/>
      <c r="AC49" s="136"/>
      <c r="AD49" s="18"/>
      <c r="AE49" s="14">
        <f t="shared" si="8"/>
        <v>-91.999999999998181</v>
      </c>
      <c r="AF49" s="123">
        <f t="shared" si="9"/>
        <v>0.95400000000000096</v>
      </c>
      <c r="AG49" s="616"/>
    </row>
    <row r="50" spans="1:33" ht="15.75" customHeight="1">
      <c r="A50" s="621" t="s">
        <v>71</v>
      </c>
      <c r="B50" s="27" t="s">
        <v>5</v>
      </c>
      <c r="C50" s="605" t="s">
        <v>77</v>
      </c>
      <c r="D50" s="606"/>
      <c r="E50" s="27">
        <v>54.09</v>
      </c>
      <c r="F50" s="30">
        <v>1297</v>
      </c>
      <c r="G50" s="124">
        <f t="shared" si="35"/>
        <v>70154.73000000001</v>
      </c>
      <c r="H50" s="31"/>
      <c r="I50" s="130">
        <v>13</v>
      </c>
      <c r="J50" s="29">
        <v>2000</v>
      </c>
      <c r="K50" s="12">
        <f t="shared" si="1"/>
        <v>153.84615384615384</v>
      </c>
      <c r="L50" s="130">
        <v>13</v>
      </c>
      <c r="M50" s="13">
        <f t="shared" si="39"/>
        <v>1945.4999999999993</v>
      </c>
      <c r="N50" s="13">
        <f t="shared" si="3"/>
        <v>149.6538461538461</v>
      </c>
      <c r="O50" s="14">
        <f t="shared" si="4"/>
        <v>0</v>
      </c>
      <c r="P50" s="15">
        <f t="shared" si="5"/>
        <v>-4.192307692307736</v>
      </c>
      <c r="Q50" s="123">
        <f t="shared" si="6"/>
        <v>0.97274999999999967</v>
      </c>
      <c r="R50" s="616"/>
      <c r="S50" s="32">
        <v>0.75486111111111109</v>
      </c>
      <c r="T50" s="32">
        <v>0.78263888888888888</v>
      </c>
      <c r="U50" s="124">
        <f t="shared" si="38"/>
        <v>6.9999999999999751</v>
      </c>
      <c r="V50" s="131">
        <f t="shared" si="37"/>
        <v>40.000000000000014</v>
      </c>
      <c r="W50" s="16"/>
      <c r="X50" s="16"/>
      <c r="Y50" s="19"/>
      <c r="Z50" s="19"/>
      <c r="AA50" s="607"/>
      <c r="AB50" s="608"/>
      <c r="AC50" s="136"/>
      <c r="AD50" s="18"/>
      <c r="AE50" s="14">
        <f t="shared" si="8"/>
        <v>-54.500000000000682</v>
      </c>
      <c r="AF50" s="123">
        <f t="shared" si="9"/>
        <v>0.97274999999999967</v>
      </c>
      <c r="AG50" s="616"/>
    </row>
    <row r="51" spans="1:33" ht="15.75" customHeight="1">
      <c r="A51" s="621" t="s">
        <v>71</v>
      </c>
      <c r="B51" s="27" t="s">
        <v>5</v>
      </c>
      <c r="C51" s="605" t="s">
        <v>65</v>
      </c>
      <c r="D51" s="606"/>
      <c r="E51" s="27">
        <v>56.43</v>
      </c>
      <c r="F51" s="30">
        <v>1356</v>
      </c>
      <c r="G51" s="124">
        <f t="shared" si="35"/>
        <v>76519.08</v>
      </c>
      <c r="H51" s="31"/>
      <c r="I51" s="130">
        <v>13</v>
      </c>
      <c r="J51" s="29">
        <v>2000</v>
      </c>
      <c r="K51" s="12">
        <f t="shared" si="1"/>
        <v>153.84615384615384</v>
      </c>
      <c r="L51" s="130">
        <v>13</v>
      </c>
      <c r="M51" s="13">
        <f t="shared" si="39"/>
        <v>1937.1428571428567</v>
      </c>
      <c r="N51" s="13">
        <f t="shared" si="3"/>
        <v>149.01098901098896</v>
      </c>
      <c r="O51" s="14">
        <f t="shared" si="4"/>
        <v>0</v>
      </c>
      <c r="P51" s="15">
        <f t="shared" si="5"/>
        <v>-4.8351648351648748</v>
      </c>
      <c r="Q51" s="123">
        <f t="shared" si="6"/>
        <v>0.96857142857142831</v>
      </c>
      <c r="R51" s="616"/>
      <c r="S51" s="32">
        <v>0.78680555555555554</v>
      </c>
      <c r="T51" s="32">
        <v>0.81597222222222221</v>
      </c>
      <c r="U51" s="124">
        <f t="shared" si="38"/>
        <v>5.9999999999999787</v>
      </c>
      <c r="V51" s="131">
        <f t="shared" si="37"/>
        <v>42.000000000000014</v>
      </c>
      <c r="W51" s="16"/>
      <c r="X51" s="16"/>
      <c r="Y51" s="19"/>
      <c r="Z51" s="19"/>
      <c r="AA51" s="607"/>
      <c r="AB51" s="608"/>
      <c r="AC51" s="136"/>
      <c r="AD51" s="18"/>
      <c r="AE51" s="14">
        <f t="shared" si="8"/>
        <v>-62.857142857143344</v>
      </c>
      <c r="AF51" s="123">
        <f t="shared" si="9"/>
        <v>0.96857142857142831</v>
      </c>
      <c r="AG51" s="616"/>
    </row>
    <row r="52" spans="1:33">
      <c r="A52" s="622" t="s">
        <v>71</v>
      </c>
      <c r="B52" s="27" t="s">
        <v>70</v>
      </c>
      <c r="C52" s="658"/>
      <c r="D52" s="658"/>
      <c r="E52" s="125"/>
      <c r="F52" s="28"/>
      <c r="G52" s="12"/>
      <c r="H52" s="132"/>
      <c r="I52" s="21">
        <v>16.714285714285715</v>
      </c>
      <c r="J52" s="29">
        <v>2000</v>
      </c>
      <c r="K52" s="12">
        <f t="shared" si="1"/>
        <v>119.65811965811965</v>
      </c>
      <c r="L52" s="21">
        <v>16.714285714285715</v>
      </c>
      <c r="M52" s="13">
        <f>AVERAGE(M45:M51)</f>
        <v>1928.5111317254175</v>
      </c>
      <c r="N52" s="12">
        <f t="shared" si="3"/>
        <v>115.38100788100787</v>
      </c>
      <c r="O52" s="14">
        <f t="shared" si="4"/>
        <v>0</v>
      </c>
      <c r="P52" s="15">
        <f t="shared" si="5"/>
        <v>-4.2771117771117702</v>
      </c>
      <c r="Q52" s="123">
        <f t="shared" si="6"/>
        <v>0.96425556586270877</v>
      </c>
      <c r="R52" s="616"/>
      <c r="S52" s="32"/>
      <c r="T52" s="32"/>
      <c r="U52" s="124"/>
      <c r="V52" s="131"/>
      <c r="W52" s="12"/>
      <c r="X52" s="12"/>
      <c r="Y52" s="22">
        <f>SUM(Y45:Y51)</f>
        <v>0</v>
      </c>
      <c r="Z52" s="22">
        <f>SUM(Z45:Z51)</f>
        <v>0</v>
      </c>
      <c r="AA52" s="611"/>
      <c r="AB52" s="611"/>
      <c r="AC52" s="22">
        <v>7</v>
      </c>
      <c r="AD52" s="22">
        <f>SUM(AD45:AD51)</f>
        <v>0</v>
      </c>
      <c r="AE52" s="14">
        <f>M52-J52</f>
        <v>-71.488868274582501</v>
      </c>
      <c r="AF52" s="123">
        <f t="shared" si="9"/>
        <v>0.96425556586270877</v>
      </c>
      <c r="AG52" s="616"/>
    </row>
    <row r="53" spans="1:33" ht="15.75" customHeight="1">
      <c r="A53" s="617" t="s">
        <v>72</v>
      </c>
      <c r="B53" s="132" t="s">
        <v>27</v>
      </c>
      <c r="C53" s="660" t="s">
        <v>28</v>
      </c>
      <c r="D53" s="660"/>
      <c r="E53" s="27">
        <v>35.119999999999997</v>
      </c>
      <c r="F53" s="30">
        <v>3962</v>
      </c>
      <c r="G53" s="124">
        <f t="shared" ref="G53:G56" si="40">E53*F53</f>
        <v>139145.44</v>
      </c>
      <c r="H53" s="31"/>
      <c r="I53" s="130">
        <v>10</v>
      </c>
      <c r="J53" s="29">
        <v>3000</v>
      </c>
      <c r="K53" s="12">
        <f t="shared" si="1"/>
        <v>300</v>
      </c>
      <c r="L53" s="130">
        <v>10</v>
      </c>
      <c r="M53" s="13">
        <f t="shared" ref="M53:M56" si="41">F53/V53*60</f>
        <v>2864.0963855421692</v>
      </c>
      <c r="N53" s="12">
        <f t="shared" si="3"/>
        <v>286.40963855421694</v>
      </c>
      <c r="O53" s="14">
        <f t="shared" si="4"/>
        <v>0</v>
      </c>
      <c r="P53" s="15">
        <f t="shared" si="5"/>
        <v>-13.59036144578306</v>
      </c>
      <c r="Q53" s="123">
        <f t="shared" si="6"/>
        <v>0.95469879518072309</v>
      </c>
      <c r="R53" s="616">
        <f>Q57</f>
        <v>0.95773246323629135</v>
      </c>
      <c r="S53" s="32">
        <v>0.20833333333333334</v>
      </c>
      <c r="T53" s="32">
        <v>0.26597222222222222</v>
      </c>
      <c r="U53" s="124"/>
      <c r="V53" s="131">
        <f t="shared" ref="V53:V56" si="42">(T53-S53)*24*60</f>
        <v>82.999999999999986</v>
      </c>
      <c r="W53" s="16"/>
      <c r="X53" s="16"/>
      <c r="Y53" s="20"/>
      <c r="Z53" s="20"/>
      <c r="AA53" s="612"/>
      <c r="AB53" s="612"/>
      <c r="AC53" s="136">
        <v>4</v>
      </c>
      <c r="AD53" s="18"/>
      <c r="AE53" s="14">
        <f t="shared" ref="AE53:AE63" si="43">M53-J53</f>
        <v>-135.90361445783083</v>
      </c>
      <c r="AF53" s="123">
        <f t="shared" si="9"/>
        <v>0.95469879518072309</v>
      </c>
      <c r="AG53" s="616">
        <f>AF57</f>
        <v>0.95773246323629135</v>
      </c>
    </row>
    <row r="54" spans="1:33" ht="15.75" customHeight="1">
      <c r="A54" s="617" t="s">
        <v>72</v>
      </c>
      <c r="B54" s="132" t="s">
        <v>27</v>
      </c>
      <c r="C54" s="660" t="s">
        <v>34</v>
      </c>
      <c r="D54" s="660"/>
      <c r="E54" s="27">
        <v>26.78</v>
      </c>
      <c r="F54" s="30">
        <v>2062</v>
      </c>
      <c r="G54" s="124">
        <f t="shared" si="40"/>
        <v>55220.36</v>
      </c>
      <c r="H54" s="31"/>
      <c r="I54" s="130">
        <v>10</v>
      </c>
      <c r="J54" s="29">
        <v>3000</v>
      </c>
      <c r="K54" s="12">
        <f t="shared" si="1"/>
        <v>300</v>
      </c>
      <c r="L54" s="130">
        <v>10</v>
      </c>
      <c r="M54" s="13">
        <f t="shared" si="41"/>
        <v>2877.2093023255807</v>
      </c>
      <c r="N54" s="12">
        <f t="shared" si="3"/>
        <v>287.72093023255809</v>
      </c>
      <c r="O54" s="14">
        <f t="shared" si="4"/>
        <v>0</v>
      </c>
      <c r="P54" s="15">
        <f t="shared" si="5"/>
        <v>-12.279069767441911</v>
      </c>
      <c r="Q54" s="123">
        <f t="shared" si="6"/>
        <v>0.95906976744186034</v>
      </c>
      <c r="R54" s="616"/>
      <c r="S54" s="32">
        <v>0.26944444444444443</v>
      </c>
      <c r="T54" s="32">
        <v>0.29930555555555555</v>
      </c>
      <c r="U54" s="124">
        <f t="shared" ref="U54:U56" si="44">(S54-T53)*24*60</f>
        <v>4.9999999999999822</v>
      </c>
      <c r="V54" s="131">
        <f t="shared" si="42"/>
        <v>43.000000000000007</v>
      </c>
      <c r="W54" s="124"/>
      <c r="X54" s="124"/>
      <c r="Y54" s="124"/>
      <c r="Z54" s="124"/>
      <c r="AA54" s="612"/>
      <c r="AB54" s="612"/>
      <c r="AC54" s="136"/>
      <c r="AD54" s="18"/>
      <c r="AE54" s="14">
        <f t="shared" si="43"/>
        <v>-122.79069767441933</v>
      </c>
      <c r="AF54" s="123">
        <f t="shared" si="9"/>
        <v>0.95906976744186023</v>
      </c>
      <c r="AG54" s="616"/>
    </row>
    <row r="55" spans="1:33" ht="15.75" customHeight="1">
      <c r="A55" s="617" t="s">
        <v>72</v>
      </c>
      <c r="B55" s="132" t="s">
        <v>27</v>
      </c>
      <c r="C55" s="660" t="s">
        <v>35</v>
      </c>
      <c r="D55" s="660"/>
      <c r="E55" s="27">
        <v>35.869999999999997</v>
      </c>
      <c r="F55" s="30">
        <v>2618</v>
      </c>
      <c r="G55" s="124">
        <f t="shared" si="40"/>
        <v>93907.659999999989</v>
      </c>
      <c r="H55" s="31"/>
      <c r="I55" s="130">
        <v>9</v>
      </c>
      <c r="J55" s="29">
        <v>3000</v>
      </c>
      <c r="K55" s="12">
        <f t="shared" si="1"/>
        <v>333.33333333333331</v>
      </c>
      <c r="L55" s="130">
        <v>9</v>
      </c>
      <c r="M55" s="13">
        <f t="shared" si="41"/>
        <v>2856.0000000000018</v>
      </c>
      <c r="N55" s="12">
        <f t="shared" si="3"/>
        <v>317.33333333333354</v>
      </c>
      <c r="O55" s="14">
        <f t="shared" si="4"/>
        <v>0</v>
      </c>
      <c r="P55" s="15">
        <f t="shared" si="5"/>
        <v>-15.999999999999773</v>
      </c>
      <c r="Q55" s="123">
        <f t="shared" si="6"/>
        <v>0.95200000000000073</v>
      </c>
      <c r="R55" s="616"/>
      <c r="S55" s="32">
        <v>0.3034722222222222</v>
      </c>
      <c r="T55" s="32">
        <v>0.34166666666666662</v>
      </c>
      <c r="U55" s="124">
        <f t="shared" si="44"/>
        <v>5.9999999999999787</v>
      </c>
      <c r="V55" s="131">
        <f t="shared" si="42"/>
        <v>54.999999999999964</v>
      </c>
      <c r="W55" s="124"/>
      <c r="X55" s="124"/>
      <c r="Y55" s="124"/>
      <c r="Z55" s="124"/>
      <c r="AA55" s="612"/>
      <c r="AB55" s="612"/>
      <c r="AC55" s="136"/>
      <c r="AD55" s="18"/>
      <c r="AE55" s="14">
        <f t="shared" si="43"/>
        <v>-143.99999999999818</v>
      </c>
      <c r="AF55" s="123">
        <f t="shared" si="9"/>
        <v>0.95200000000000062</v>
      </c>
      <c r="AG55" s="616"/>
    </row>
    <row r="56" spans="1:33" ht="15.75" customHeight="1">
      <c r="A56" s="617" t="s">
        <v>72</v>
      </c>
      <c r="B56" s="132" t="s">
        <v>27</v>
      </c>
      <c r="C56" s="660" t="s">
        <v>36</v>
      </c>
      <c r="D56" s="660"/>
      <c r="E56" s="27">
        <v>34.35</v>
      </c>
      <c r="F56" s="30">
        <v>1496</v>
      </c>
      <c r="G56" s="124">
        <f t="shared" si="40"/>
        <v>51387.6</v>
      </c>
      <c r="H56" s="31"/>
      <c r="I56" s="130">
        <v>8</v>
      </c>
      <c r="J56" s="29">
        <v>3000</v>
      </c>
      <c r="K56" s="12">
        <f t="shared" si="1"/>
        <v>375</v>
      </c>
      <c r="L56" s="130">
        <v>8</v>
      </c>
      <c r="M56" s="13">
        <f t="shared" si="41"/>
        <v>2895.4838709677447</v>
      </c>
      <c r="N56" s="12">
        <f t="shared" si="3"/>
        <v>361.93548387096808</v>
      </c>
      <c r="O56" s="14">
        <f t="shared" si="4"/>
        <v>0</v>
      </c>
      <c r="P56" s="15">
        <f t="shared" si="5"/>
        <v>-13.064516129031915</v>
      </c>
      <c r="Q56" s="123">
        <f t="shared" si="6"/>
        <v>0.96516129032258158</v>
      </c>
      <c r="R56" s="616"/>
      <c r="S56" s="32">
        <v>0.34583333333333327</v>
      </c>
      <c r="T56" s="32">
        <v>0.36736111111111103</v>
      </c>
      <c r="U56" s="124">
        <f t="shared" si="44"/>
        <v>5.9999999999999787</v>
      </c>
      <c r="V56" s="131">
        <f t="shared" si="42"/>
        <v>30.999999999999972</v>
      </c>
      <c r="W56" s="124"/>
      <c r="X56" s="124"/>
      <c r="Y56" s="124"/>
      <c r="Z56" s="124"/>
      <c r="AA56" s="612"/>
      <c r="AB56" s="612"/>
      <c r="AC56" s="136"/>
      <c r="AD56" s="18"/>
      <c r="AE56" s="14">
        <f t="shared" si="43"/>
        <v>-104.51612903225532</v>
      </c>
      <c r="AF56" s="123">
        <f t="shared" si="9"/>
        <v>0.96516129032258158</v>
      </c>
      <c r="AG56" s="616"/>
    </row>
    <row r="57" spans="1:33">
      <c r="A57" s="618" t="s">
        <v>72</v>
      </c>
      <c r="B57" s="27" t="s">
        <v>70</v>
      </c>
      <c r="C57" s="658"/>
      <c r="D57" s="658"/>
      <c r="E57" s="125"/>
      <c r="F57" s="28"/>
      <c r="G57" s="12"/>
      <c r="H57" s="132"/>
      <c r="I57" s="21">
        <v>9.25</v>
      </c>
      <c r="J57" s="29">
        <v>3000</v>
      </c>
      <c r="K57" s="12">
        <f t="shared" si="1"/>
        <v>324.32432432432432</v>
      </c>
      <c r="L57" s="21">
        <v>9.25</v>
      </c>
      <c r="M57" s="13">
        <f>AVERAGE(M53:M56)</f>
        <v>2873.1973897088742</v>
      </c>
      <c r="N57" s="12">
        <f t="shared" si="3"/>
        <v>310.61593402258097</v>
      </c>
      <c r="O57" s="14">
        <f t="shared" si="4"/>
        <v>0</v>
      </c>
      <c r="P57" s="15">
        <f t="shared" si="5"/>
        <v>-13.70839030174335</v>
      </c>
      <c r="Q57" s="123">
        <f t="shared" si="6"/>
        <v>0.95773246323629135</v>
      </c>
      <c r="R57" s="616"/>
      <c r="S57" s="32"/>
      <c r="T57" s="32"/>
      <c r="U57" s="12"/>
      <c r="V57" s="131"/>
      <c r="W57" s="12"/>
      <c r="X57" s="12"/>
      <c r="Y57" s="22">
        <f>SUM(Y53:Y56)</f>
        <v>0</v>
      </c>
      <c r="Z57" s="22">
        <f>SUM(Z53:Z56)</f>
        <v>0</v>
      </c>
      <c r="AA57" s="611"/>
      <c r="AB57" s="611"/>
      <c r="AC57" s="22">
        <v>4</v>
      </c>
      <c r="AD57" s="22">
        <f>SUM(AD53:AD56)</f>
        <v>0</v>
      </c>
      <c r="AE57" s="14">
        <f t="shared" si="43"/>
        <v>-126.8026102911258</v>
      </c>
      <c r="AF57" s="123">
        <f t="shared" si="9"/>
        <v>0.95773246323629135</v>
      </c>
      <c r="AG57" s="616"/>
    </row>
    <row r="58" spans="1:33" ht="15.75" customHeight="1">
      <c r="A58" s="613" t="s">
        <v>73</v>
      </c>
      <c r="B58" s="132" t="s">
        <v>20</v>
      </c>
      <c r="C58" s="660" t="s">
        <v>39</v>
      </c>
      <c r="D58" s="660"/>
      <c r="E58" s="27">
        <v>19.02</v>
      </c>
      <c r="F58" s="132">
        <v>7228</v>
      </c>
      <c r="G58" s="124">
        <f t="shared" ref="G58:G62" si="45">E58*F58</f>
        <v>137476.56</v>
      </c>
      <c r="H58" s="31"/>
      <c r="I58" s="130">
        <v>14</v>
      </c>
      <c r="J58" s="29">
        <v>2400</v>
      </c>
      <c r="K58" s="12">
        <f t="shared" si="1"/>
        <v>171.42857142857142</v>
      </c>
      <c r="L58" s="130">
        <v>14</v>
      </c>
      <c r="M58" s="13">
        <f t="shared" ref="M58:M62" si="46">F58/V58*60</f>
        <v>2294.603174603174</v>
      </c>
      <c r="N58" s="12">
        <f t="shared" si="3"/>
        <v>163.90022675736958</v>
      </c>
      <c r="O58" s="14">
        <f t="shared" si="4"/>
        <v>0</v>
      </c>
      <c r="P58" s="15">
        <f t="shared" si="5"/>
        <v>-7.528344671201836</v>
      </c>
      <c r="Q58" s="123">
        <f t="shared" si="6"/>
        <v>0.95608465608465598</v>
      </c>
      <c r="R58" s="616">
        <f>Q63</f>
        <v>0.95769362877214004</v>
      </c>
      <c r="S58" s="32">
        <v>8.3333333333333329E-2</v>
      </c>
      <c r="T58" s="32">
        <v>0.21458333333333335</v>
      </c>
      <c r="U58" s="20"/>
      <c r="V58" s="131">
        <f t="shared" ref="V58:V62" si="47">(T58-S58)*24*60</f>
        <v>189.00000000000006</v>
      </c>
      <c r="W58" s="16">
        <f>T58</f>
        <v>0.21458333333333335</v>
      </c>
      <c r="X58" s="16">
        <f>S59</f>
        <v>0.23541666666666669</v>
      </c>
      <c r="Y58" s="16"/>
      <c r="Z58" s="16"/>
      <c r="AA58" s="612"/>
      <c r="AB58" s="612"/>
      <c r="AC58" s="136">
        <v>5</v>
      </c>
      <c r="AD58" s="18"/>
      <c r="AE58" s="14">
        <f t="shared" si="43"/>
        <v>-105.39682539682599</v>
      </c>
      <c r="AF58" s="123">
        <f t="shared" si="9"/>
        <v>0.95608465608465587</v>
      </c>
      <c r="AG58" s="616">
        <f>AF63</f>
        <v>0.95769362877214004</v>
      </c>
    </row>
    <row r="59" spans="1:33" ht="15.75" customHeight="1">
      <c r="A59" s="614" t="s">
        <v>73</v>
      </c>
      <c r="B59" s="132" t="s">
        <v>20</v>
      </c>
      <c r="C59" s="660" t="s">
        <v>24</v>
      </c>
      <c r="D59" s="660"/>
      <c r="E59" s="27">
        <v>20.36</v>
      </c>
      <c r="F59" s="132">
        <v>3407</v>
      </c>
      <c r="G59" s="124">
        <f t="shared" si="45"/>
        <v>69366.52</v>
      </c>
      <c r="H59" s="31"/>
      <c r="I59" s="130">
        <v>17</v>
      </c>
      <c r="J59" s="29">
        <v>2400</v>
      </c>
      <c r="K59" s="12">
        <f t="shared" si="1"/>
        <v>141.1764705882353</v>
      </c>
      <c r="L59" s="130">
        <v>17</v>
      </c>
      <c r="M59" s="13">
        <f t="shared" si="46"/>
        <v>2296.8539325842685</v>
      </c>
      <c r="N59" s="12">
        <f t="shared" si="3"/>
        <v>135.10905485789814</v>
      </c>
      <c r="O59" s="14">
        <f t="shared" si="4"/>
        <v>0</v>
      </c>
      <c r="P59" s="15">
        <f t="shared" si="5"/>
        <v>-6.0674157303371601</v>
      </c>
      <c r="Q59" s="123">
        <f t="shared" si="6"/>
        <v>0.9570224719101118</v>
      </c>
      <c r="R59" s="616"/>
      <c r="S59" s="32">
        <v>0.23541666666666669</v>
      </c>
      <c r="T59" s="32">
        <v>0.29722222222222228</v>
      </c>
      <c r="U59" s="124">
        <f t="shared" ref="U59:U62" si="48">(S59-T58)*24*60</f>
        <v>30.000000000000014</v>
      </c>
      <c r="V59" s="131">
        <f t="shared" si="47"/>
        <v>89.000000000000043</v>
      </c>
      <c r="W59" s="16"/>
      <c r="X59" s="16"/>
      <c r="Y59" s="16"/>
      <c r="Z59" s="16"/>
      <c r="AA59" s="612"/>
      <c r="AB59" s="612"/>
      <c r="AC59" s="136"/>
      <c r="AD59" s="18"/>
      <c r="AE59" s="14">
        <f t="shared" si="43"/>
        <v>-103.14606741573152</v>
      </c>
      <c r="AF59" s="123">
        <f t="shared" si="9"/>
        <v>0.95702247191011192</v>
      </c>
      <c r="AG59" s="616"/>
    </row>
    <row r="60" spans="1:33" ht="15.75" customHeight="1">
      <c r="A60" s="614" t="s">
        <v>73</v>
      </c>
      <c r="B60" s="132" t="s">
        <v>20</v>
      </c>
      <c r="C60" s="660" t="s">
        <v>59</v>
      </c>
      <c r="D60" s="660"/>
      <c r="E60" s="27">
        <v>25.99</v>
      </c>
      <c r="F60" s="132">
        <v>1231</v>
      </c>
      <c r="G60" s="124">
        <f t="shared" si="45"/>
        <v>31993.69</v>
      </c>
      <c r="H60" s="31"/>
      <c r="I60" s="130">
        <v>18</v>
      </c>
      <c r="J60" s="29">
        <v>2400</v>
      </c>
      <c r="K60" s="12">
        <f t="shared" si="1"/>
        <v>133.33333333333334</v>
      </c>
      <c r="L60" s="130">
        <v>18</v>
      </c>
      <c r="M60" s="13">
        <f t="shared" si="46"/>
        <v>2308.1250000000027</v>
      </c>
      <c r="N60" s="12">
        <f t="shared" si="3"/>
        <v>128.22916666666683</v>
      </c>
      <c r="O60" s="14">
        <f t="shared" si="4"/>
        <v>0</v>
      </c>
      <c r="P60" s="15">
        <f t="shared" si="5"/>
        <v>-5.1041666666665151</v>
      </c>
      <c r="Q60" s="123">
        <f t="shared" si="6"/>
        <v>0.96171875000000118</v>
      </c>
      <c r="R60" s="616"/>
      <c r="S60" s="32">
        <v>0.30277777777777781</v>
      </c>
      <c r="T60" s="32">
        <v>0.32500000000000001</v>
      </c>
      <c r="U60" s="124">
        <f t="shared" si="48"/>
        <v>7.9999999999999716</v>
      </c>
      <c r="V60" s="131">
        <f t="shared" si="47"/>
        <v>31.999999999999964</v>
      </c>
      <c r="W60" s="16"/>
      <c r="X60" s="16"/>
      <c r="Y60" s="16"/>
      <c r="Z60" s="16"/>
      <c r="AA60" s="612"/>
      <c r="AB60" s="612"/>
      <c r="AC60" s="136"/>
      <c r="AD60" s="18"/>
      <c r="AE60" s="14">
        <f t="shared" si="43"/>
        <v>-91.874999999997272</v>
      </c>
      <c r="AF60" s="123">
        <f t="shared" si="9"/>
        <v>0.96171875000000118</v>
      </c>
      <c r="AG60" s="616"/>
    </row>
    <row r="61" spans="1:33" ht="15.75" customHeight="1">
      <c r="A61" s="614" t="s">
        <v>73</v>
      </c>
      <c r="B61" s="132" t="s">
        <v>20</v>
      </c>
      <c r="C61" s="660" t="s">
        <v>38</v>
      </c>
      <c r="D61" s="660"/>
      <c r="E61" s="27">
        <v>22.69</v>
      </c>
      <c r="F61" s="132">
        <v>2338</v>
      </c>
      <c r="G61" s="124">
        <f t="shared" si="45"/>
        <v>53049.22</v>
      </c>
      <c r="H61" s="31"/>
      <c r="I61" s="130">
        <v>15</v>
      </c>
      <c r="J61" s="29">
        <v>2400</v>
      </c>
      <c r="K61" s="12">
        <f t="shared" si="1"/>
        <v>160</v>
      </c>
      <c r="L61" s="130">
        <v>15</v>
      </c>
      <c r="M61" s="13">
        <f t="shared" si="46"/>
        <v>2299.6721311475403</v>
      </c>
      <c r="N61" s="12">
        <f t="shared" si="3"/>
        <v>153.31147540983602</v>
      </c>
      <c r="O61" s="14">
        <f t="shared" si="4"/>
        <v>0</v>
      </c>
      <c r="P61" s="15">
        <f t="shared" si="5"/>
        <v>-6.6885245901639792</v>
      </c>
      <c r="Q61" s="123">
        <f t="shared" si="6"/>
        <v>0.95819672131147515</v>
      </c>
      <c r="R61" s="616"/>
      <c r="S61" s="32">
        <v>0.32847222222222222</v>
      </c>
      <c r="T61" s="32">
        <v>0.37083333333333335</v>
      </c>
      <c r="U61" s="124">
        <f t="shared" si="48"/>
        <v>4.9999999999999822</v>
      </c>
      <c r="V61" s="131">
        <f t="shared" si="47"/>
        <v>61.000000000000021</v>
      </c>
      <c r="W61" s="16"/>
      <c r="X61" s="16"/>
      <c r="Y61" s="16"/>
      <c r="Z61" s="16"/>
      <c r="AA61" s="612"/>
      <c r="AB61" s="612"/>
      <c r="AC61" s="136"/>
      <c r="AD61" s="18"/>
      <c r="AE61" s="14">
        <f t="shared" si="43"/>
        <v>-100.32786885245969</v>
      </c>
      <c r="AF61" s="123">
        <f t="shared" si="9"/>
        <v>0.95819672131147515</v>
      </c>
      <c r="AG61" s="616"/>
    </row>
    <row r="62" spans="1:33" ht="15.75" customHeight="1">
      <c r="A62" s="614" t="s">
        <v>73</v>
      </c>
      <c r="B62" s="132" t="s">
        <v>20</v>
      </c>
      <c r="C62" s="660" t="s">
        <v>80</v>
      </c>
      <c r="D62" s="660"/>
      <c r="E62" s="27">
        <v>25.98</v>
      </c>
      <c r="F62" s="132">
        <v>3860</v>
      </c>
      <c r="G62" s="124">
        <f t="shared" si="45"/>
        <v>100282.8</v>
      </c>
      <c r="H62" s="31"/>
      <c r="I62" s="130">
        <v>17</v>
      </c>
      <c r="J62" s="29">
        <v>2400</v>
      </c>
      <c r="K62" s="12">
        <f t="shared" si="1"/>
        <v>141.1764705882353</v>
      </c>
      <c r="L62" s="130">
        <v>17</v>
      </c>
      <c r="M62" s="13">
        <f t="shared" si="46"/>
        <v>2293.069306930694</v>
      </c>
      <c r="N62" s="12">
        <f t="shared" si="3"/>
        <v>134.88642981945259</v>
      </c>
      <c r="O62" s="14">
        <f t="shared" si="4"/>
        <v>0</v>
      </c>
      <c r="P62" s="15">
        <f t="shared" si="5"/>
        <v>-6.2900407687827169</v>
      </c>
      <c r="Q62" s="123">
        <f t="shared" si="6"/>
        <v>0.95544554455445574</v>
      </c>
      <c r="R62" s="616"/>
      <c r="S62" s="32">
        <v>0.375</v>
      </c>
      <c r="T62" s="32">
        <v>0.44513888888888886</v>
      </c>
      <c r="U62" s="124">
        <f t="shared" si="48"/>
        <v>5.9999999999999787</v>
      </c>
      <c r="V62" s="131">
        <f t="shared" si="47"/>
        <v>100.99999999999996</v>
      </c>
      <c r="W62" s="16"/>
      <c r="X62" s="16"/>
      <c r="Y62" s="16"/>
      <c r="Z62" s="16"/>
      <c r="AA62" s="612"/>
      <c r="AB62" s="612"/>
      <c r="AC62" s="136"/>
      <c r="AD62" s="18"/>
      <c r="AE62" s="14">
        <f t="shared" si="43"/>
        <v>-106.93069306930602</v>
      </c>
      <c r="AF62" s="123">
        <f t="shared" si="9"/>
        <v>0.95544554455445585</v>
      </c>
      <c r="AG62" s="616"/>
    </row>
    <row r="63" spans="1:33" ht="16.5" customHeight="1">
      <c r="A63" s="615" t="s">
        <v>73</v>
      </c>
      <c r="B63" s="27" t="s">
        <v>70</v>
      </c>
      <c r="C63" s="609"/>
      <c r="D63" s="610"/>
      <c r="E63" s="125"/>
      <c r="F63" s="28"/>
      <c r="G63" s="12"/>
      <c r="H63" s="132"/>
      <c r="I63" s="21">
        <v>16.2</v>
      </c>
      <c r="J63" s="29">
        <v>2400</v>
      </c>
      <c r="K63" s="12">
        <f t="shared" si="1"/>
        <v>148.14814814814815</v>
      </c>
      <c r="L63" s="21">
        <v>16.2</v>
      </c>
      <c r="M63" s="13">
        <f>AVERAGE(M58:M62)</f>
        <v>2298.4647090531362</v>
      </c>
      <c r="N63" s="12">
        <f t="shared" si="3"/>
        <v>141.8805375958726</v>
      </c>
      <c r="O63" s="14">
        <f t="shared" si="4"/>
        <v>0</v>
      </c>
      <c r="P63" s="15">
        <f t="shared" si="5"/>
        <v>-6.2676105522755563</v>
      </c>
      <c r="Q63" s="123">
        <f t="shared" si="6"/>
        <v>0.95769362877214004</v>
      </c>
      <c r="R63" s="616"/>
      <c r="S63" s="32"/>
      <c r="T63" s="32"/>
      <c r="U63" s="12"/>
      <c r="V63" s="131"/>
      <c r="W63" s="12"/>
      <c r="X63" s="12"/>
      <c r="Y63" s="22">
        <f>SUM(Y58:Y62)</f>
        <v>0</v>
      </c>
      <c r="Z63" s="22">
        <f>SUM(Z58:Z62)</f>
        <v>0</v>
      </c>
      <c r="AA63" s="611"/>
      <c r="AB63" s="611"/>
      <c r="AC63" s="22">
        <v>5</v>
      </c>
      <c r="AD63" s="22">
        <f>SUM(AD58:AD62)</f>
        <v>0</v>
      </c>
      <c r="AE63" s="14">
        <f t="shared" si="43"/>
        <v>-101.53529094686382</v>
      </c>
      <c r="AF63" s="123">
        <f t="shared" si="9"/>
        <v>0.95769362877214004</v>
      </c>
      <c r="AG63" s="616"/>
    </row>
    <row r="64" spans="1:33">
      <c r="D64" s="23"/>
      <c r="E64" s="23"/>
    </row>
  </sheetData>
  <mergeCells count="177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13:AG19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7:A33"/>
    <mergeCell ref="C27:D27"/>
    <mergeCell ref="R27:R33"/>
    <mergeCell ref="AA27:AB27"/>
    <mergeCell ref="AA32:AB32"/>
    <mergeCell ref="C33:D33"/>
    <mergeCell ref="AA33:AB33"/>
    <mergeCell ref="AG34:AG40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A44:AB44"/>
    <mergeCell ref="A45:A52"/>
    <mergeCell ref="C45:D45"/>
    <mergeCell ref="R45:R52"/>
    <mergeCell ref="AA45:AB45"/>
    <mergeCell ref="AG45:AG52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C52:D52"/>
    <mergeCell ref="AA52:AB52"/>
    <mergeCell ref="A53:A57"/>
    <mergeCell ref="C53:D53"/>
    <mergeCell ref="R53:R57"/>
    <mergeCell ref="AA53:AB53"/>
    <mergeCell ref="AA48:AB48"/>
    <mergeCell ref="AA49:AB49"/>
    <mergeCell ref="C50:D50"/>
    <mergeCell ref="AA50:AB50"/>
    <mergeCell ref="C51:D51"/>
    <mergeCell ref="AA51:AB51"/>
    <mergeCell ref="AG53:AG57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A58:A63"/>
    <mergeCell ref="C58:D58"/>
    <mergeCell ref="R58:R63"/>
    <mergeCell ref="AA58:AB58"/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2:O53 O56:O63 O5:O8 O12:O14 O19:O50">
    <cfRule type="cellIs" dxfId="233" priority="41" operator="greaterThan">
      <formula>0</formula>
    </cfRule>
  </conditionalFormatting>
  <conditionalFormatting sqref="P5:P6 P56 AE56 P58:P62 P27:P32 P53 P8 P12:P14 P20:P25 P45:P50 P34:P43 AE5:AE53 AE58:AE63">
    <cfRule type="cellIs" dxfId="232" priority="45" operator="lessThan">
      <formula>0</formula>
    </cfRule>
  </conditionalFormatting>
  <conditionalFormatting sqref="AF56 Q52:Q53 Q56:Q63 Q5:Q8 Q12:Q14 Q19:Q50 AF5:AF53 AF58:AF63">
    <cfRule type="cellIs" dxfId="231" priority="42" operator="greaterThan">
      <formula>1</formula>
    </cfRule>
    <cfRule type="cellIs" dxfId="230" priority="43" operator="lessThan">
      <formula>0.8</formula>
    </cfRule>
  </conditionalFormatting>
  <conditionalFormatting sqref="AG13:AG14 R13:R14 AG56 AG52:AG53 R52:R53 R56:R63 AG5:AG8 R5:R8 AG19:AG50 R19:R50">
    <cfRule type="cellIs" dxfId="229" priority="47" operator="lessThan">
      <formula>0.8</formula>
    </cfRule>
  </conditionalFormatting>
  <conditionalFormatting sqref="AG41">
    <cfRule type="cellIs" dxfId="228" priority="49" operator="lessThan">
      <formula>0.8</formula>
    </cfRule>
  </conditionalFormatting>
  <conditionalFormatting sqref="AG20:AG25">
    <cfRule type="cellIs" dxfId="227" priority="46" operator="lessThan">
      <formula>0.8</formula>
    </cfRule>
  </conditionalFormatting>
  <conditionalFormatting sqref="AG27">
    <cfRule type="cellIs" dxfId="226" priority="48" operator="lessThan">
      <formula>0.8</formula>
    </cfRule>
  </conditionalFormatting>
  <conditionalFormatting sqref="AG34:AG39">
    <cfRule type="cellIs" dxfId="225" priority="44" operator="lessThan">
      <formula>0.8</formula>
    </cfRule>
  </conditionalFormatting>
  <conditionalFormatting sqref="AE57">
    <cfRule type="cellIs" dxfId="224" priority="40" operator="lessThan">
      <formula>0</formula>
    </cfRule>
  </conditionalFormatting>
  <conditionalFormatting sqref="AF57">
    <cfRule type="cellIs" dxfId="223" priority="38" operator="greaterThan">
      <formula>1</formula>
    </cfRule>
    <cfRule type="cellIs" dxfId="222" priority="39" operator="lessThan">
      <formula>0.8</formula>
    </cfRule>
  </conditionalFormatting>
  <conditionalFormatting sqref="O15:O16">
    <cfRule type="cellIs" dxfId="221" priority="33" operator="greaterThan">
      <formula>0</formula>
    </cfRule>
  </conditionalFormatting>
  <conditionalFormatting sqref="P15:P16">
    <cfRule type="cellIs" dxfId="220" priority="36" operator="lessThan">
      <formula>0</formula>
    </cfRule>
  </conditionalFormatting>
  <conditionalFormatting sqref="Q15:Q16">
    <cfRule type="cellIs" dxfId="219" priority="34" operator="greaterThan">
      <formula>1</formula>
    </cfRule>
    <cfRule type="cellIs" dxfId="218" priority="35" operator="lessThan">
      <formula>0.8</formula>
    </cfRule>
  </conditionalFormatting>
  <conditionalFormatting sqref="R15:R16 AG15:AG16">
    <cfRule type="cellIs" dxfId="217" priority="37" operator="lessThan">
      <formula>0.8</formula>
    </cfRule>
  </conditionalFormatting>
  <conditionalFormatting sqref="O9:O11">
    <cfRule type="cellIs" dxfId="216" priority="29" operator="greaterThan">
      <formula>0</formula>
    </cfRule>
  </conditionalFormatting>
  <conditionalFormatting sqref="P9:P11">
    <cfRule type="cellIs" dxfId="215" priority="32" operator="lessThan">
      <formula>0</formula>
    </cfRule>
  </conditionalFormatting>
  <conditionalFormatting sqref="Q9:Q11">
    <cfRule type="cellIs" dxfId="214" priority="30" operator="greaterThan">
      <formula>1</formula>
    </cfRule>
    <cfRule type="cellIs" dxfId="213" priority="31" operator="lessThan">
      <formula>0.8</formula>
    </cfRule>
  </conditionalFormatting>
  <conditionalFormatting sqref="O51">
    <cfRule type="cellIs" dxfId="212" priority="24" operator="greaterThan">
      <formula>0</formula>
    </cfRule>
  </conditionalFormatting>
  <conditionalFormatting sqref="P51">
    <cfRule type="cellIs" dxfId="211" priority="27" operator="lessThan">
      <formula>0</formula>
    </cfRule>
  </conditionalFormatting>
  <conditionalFormatting sqref="Q51">
    <cfRule type="cellIs" dxfId="210" priority="25" operator="greaterThan">
      <formula>1</formula>
    </cfRule>
    <cfRule type="cellIs" dxfId="209" priority="26" operator="lessThan">
      <formula>0.8</formula>
    </cfRule>
  </conditionalFormatting>
  <conditionalFormatting sqref="R51 AG51">
    <cfRule type="cellIs" dxfId="208" priority="28" operator="lessThan">
      <formula>0.8</formula>
    </cfRule>
  </conditionalFormatting>
  <conditionalFormatting sqref="O55">
    <cfRule type="cellIs" dxfId="207" priority="19" operator="greaterThan">
      <formula>0</formula>
    </cfRule>
  </conditionalFormatting>
  <conditionalFormatting sqref="P55 AE55">
    <cfRule type="cellIs" dxfId="206" priority="22" operator="lessThan">
      <formula>0</formula>
    </cfRule>
  </conditionalFormatting>
  <conditionalFormatting sqref="Q55 AF55">
    <cfRule type="cellIs" dxfId="205" priority="20" operator="greaterThan">
      <formula>1</formula>
    </cfRule>
    <cfRule type="cellIs" dxfId="204" priority="21" operator="lessThan">
      <formula>0.8</formula>
    </cfRule>
  </conditionalFormatting>
  <conditionalFormatting sqref="R55 AG55">
    <cfRule type="cellIs" dxfId="203" priority="23" operator="lessThan">
      <formula>0.8</formula>
    </cfRule>
  </conditionalFormatting>
  <conditionalFormatting sqref="O17:O18">
    <cfRule type="cellIs" dxfId="202" priority="14" operator="greaterThan">
      <formula>0</formula>
    </cfRule>
  </conditionalFormatting>
  <conditionalFormatting sqref="P17:P18">
    <cfRule type="cellIs" dxfId="201" priority="17" operator="lessThan">
      <formula>0</formula>
    </cfRule>
  </conditionalFormatting>
  <conditionalFormatting sqref="Q17:Q18">
    <cfRule type="cellIs" dxfId="200" priority="15" operator="greaterThan">
      <formula>1</formula>
    </cfRule>
    <cfRule type="cellIs" dxfId="199" priority="16" operator="lessThan">
      <formula>0.8</formula>
    </cfRule>
  </conditionalFormatting>
  <conditionalFormatting sqref="R17:R18 AG17:AG18">
    <cfRule type="cellIs" dxfId="198" priority="18" operator="lessThan">
      <formula>0.8</formula>
    </cfRule>
  </conditionalFormatting>
  <conditionalFormatting sqref="O54">
    <cfRule type="cellIs" dxfId="197" priority="9" operator="greaterThan">
      <formula>0</formula>
    </cfRule>
  </conditionalFormatting>
  <conditionalFormatting sqref="P54 AE54">
    <cfRule type="cellIs" dxfId="196" priority="12" operator="lessThan">
      <formula>0</formula>
    </cfRule>
  </conditionalFormatting>
  <conditionalFormatting sqref="Q54 AF54">
    <cfRule type="cellIs" dxfId="195" priority="10" operator="greaterThan">
      <formula>1</formula>
    </cfRule>
    <cfRule type="cellIs" dxfId="194" priority="11" operator="lessThan">
      <formula>0.8</formula>
    </cfRule>
  </conditionalFormatting>
  <conditionalFormatting sqref="R54 AG54">
    <cfRule type="cellIs" dxfId="193" priority="13" operator="lessThan">
      <formula>0.8</formula>
    </cfRule>
  </conditionalFormatting>
  <conditionalFormatting sqref="P7">
    <cfRule type="cellIs" dxfId="192" priority="8" operator="lessThan">
      <formula>0</formula>
    </cfRule>
  </conditionalFormatting>
  <conditionalFormatting sqref="P19">
    <cfRule type="cellIs" dxfId="191" priority="7" operator="lessThan">
      <formula>0</formula>
    </cfRule>
  </conditionalFormatting>
  <conditionalFormatting sqref="P26">
    <cfRule type="cellIs" dxfId="190" priority="6" operator="lessThan">
      <formula>0</formula>
    </cfRule>
  </conditionalFormatting>
  <conditionalFormatting sqref="P33">
    <cfRule type="cellIs" dxfId="189" priority="5" operator="lessThan">
      <formula>0</formula>
    </cfRule>
  </conditionalFormatting>
  <conditionalFormatting sqref="P44">
    <cfRule type="cellIs" dxfId="188" priority="4" operator="lessThan">
      <formula>0</formula>
    </cfRule>
  </conditionalFormatting>
  <conditionalFormatting sqref="P52">
    <cfRule type="cellIs" dxfId="187" priority="3" operator="lessThan">
      <formula>0</formula>
    </cfRule>
  </conditionalFormatting>
  <conditionalFormatting sqref="P57">
    <cfRule type="cellIs" dxfId="186" priority="2" operator="lessThan">
      <formula>0</formula>
    </cfRule>
  </conditionalFormatting>
  <conditionalFormatting sqref="P63">
    <cfRule type="cellIs" dxfId="185" priority="1" operator="lessThan">
      <formula>0</formula>
    </cfRule>
  </conditionalFormatting>
  <dataValidations count="1">
    <dataValidation type="list" allowBlank="1" showInputMessage="1" showErrorMessage="1" sqref="AB7 AA5:AB6 AA7:AA56 AB9:AB53 AA57:AB6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6" sqref="I6:J6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190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191</v>
      </c>
      <c r="C3" s="594" t="str">
        <f>TEXT('0702 4度C'!A2,"yyyy.mm.ddaaaa")</f>
        <v>2026.07.02星期四</v>
      </c>
      <c r="D3" s="595"/>
      <c r="E3" s="36" t="s">
        <v>192</v>
      </c>
      <c r="F3" s="596">
        <f>'0702 4度C'!D1</f>
        <v>159832</v>
      </c>
      <c r="G3" s="597"/>
      <c r="H3" s="36" t="s">
        <v>193</v>
      </c>
      <c r="I3" s="598">
        <f>'0702 4度C'!F1</f>
        <v>5355732.379999999</v>
      </c>
      <c r="J3" s="599"/>
      <c r="K3" s="37"/>
      <c r="L3" s="38"/>
      <c r="M3" s="39"/>
      <c r="N3" s="39"/>
    </row>
    <row r="4" spans="2:17" ht="28.5" customHeight="1">
      <c r="B4" s="600" t="s">
        <v>194</v>
      </c>
      <c r="C4" s="586" t="s">
        <v>195</v>
      </c>
      <c r="D4" s="587"/>
      <c r="E4" s="603" t="s">
        <v>196</v>
      </c>
      <c r="F4" s="604"/>
      <c r="G4" s="603" t="s">
        <v>197</v>
      </c>
      <c r="H4" s="604"/>
      <c r="I4" s="603" t="s">
        <v>198</v>
      </c>
      <c r="J4" s="604"/>
      <c r="K4" s="584" t="s">
        <v>199</v>
      </c>
      <c r="L4" s="585"/>
      <c r="M4" s="585" t="s">
        <v>200</v>
      </c>
      <c r="N4" s="585"/>
    </row>
    <row r="5" spans="2:17" ht="28.5" customHeight="1">
      <c r="B5" s="601"/>
      <c r="C5" s="586" t="s">
        <v>201</v>
      </c>
      <c r="D5" s="587"/>
      <c r="E5" s="586" t="s">
        <v>202</v>
      </c>
      <c r="F5" s="587"/>
      <c r="G5" s="588" t="s">
        <v>203</v>
      </c>
      <c r="H5" s="589"/>
      <c r="I5" s="590" t="s">
        <v>204</v>
      </c>
      <c r="J5" s="591"/>
      <c r="K5" s="40" t="s">
        <v>205</v>
      </c>
      <c r="L5" s="41" t="s">
        <v>206</v>
      </c>
      <c r="M5" s="40" t="s">
        <v>207</v>
      </c>
      <c r="N5" s="41" t="s">
        <v>208</v>
      </c>
    </row>
    <row r="6" spans="2:17" ht="28.5" customHeight="1">
      <c r="B6" s="601"/>
      <c r="C6" s="586" t="s">
        <v>41</v>
      </c>
      <c r="D6" s="587"/>
      <c r="E6" s="578">
        <f>AVERAGE(D13:M13)</f>
        <v>158.54791307216107</v>
      </c>
      <c r="F6" s="579">
        <f>AVERAGE(D31:O31,D13:J13)</f>
        <v>167.10164780373506</v>
      </c>
      <c r="G6" s="580">
        <f>AVERAGE(D13:J13)</f>
        <v>167.10164780373506</v>
      </c>
      <c r="H6" s="581"/>
      <c r="I6" s="580">
        <f>AVERAGE(K13:M13)</f>
        <v>138.58919869848833</v>
      </c>
      <c r="J6" s="581"/>
      <c r="K6" s="582">
        <f>'0702 4度C'!Y2</f>
        <v>0</v>
      </c>
      <c r="L6" s="567">
        <f>'0702 4度C'!Z2</f>
        <v>0</v>
      </c>
      <c r="M6" s="583">
        <f>'0702 4度C'!AC2</f>
        <v>52</v>
      </c>
      <c r="N6" s="567">
        <f>'0702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151.704772535731</v>
      </c>
      <c r="F7" s="571">
        <f>AVERAGE(D32:O32,D14:J14)</f>
        <v>159.84769215889176</v>
      </c>
      <c r="G7" s="572">
        <f>AVERAGE(D14:J14)</f>
        <v>159.84769215889176</v>
      </c>
      <c r="H7" s="573"/>
      <c r="I7" s="572">
        <f>AVERAGE(K14:M14)</f>
        <v>132.70462674835582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0.95679352262225714</v>
      </c>
      <c r="F8" s="575">
        <f>AVERAGE(D15:J15,D33:O33)</f>
        <v>0.95648597027512117</v>
      </c>
      <c r="G8" s="576">
        <f>AVERAGE(D15:J15)</f>
        <v>0.95648597027512117</v>
      </c>
      <c r="H8" s="577"/>
      <c r="I8" s="576">
        <f>AVERAGE(K15:M15)</f>
        <v>0.95751114476557442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209</v>
      </c>
      <c r="N9" s="39"/>
      <c r="O9" s="39"/>
      <c r="P9" s="39"/>
      <c r="Q9" s="39"/>
    </row>
    <row r="10" spans="2:17" ht="30" customHeight="1">
      <c r="B10" s="550" t="s">
        <v>210</v>
      </c>
      <c r="C10" s="551"/>
      <c r="D10" s="552" t="s">
        <v>211</v>
      </c>
      <c r="E10" s="553"/>
      <c r="F10" s="553"/>
      <c r="G10" s="553"/>
      <c r="H10" s="553"/>
      <c r="I10" s="553"/>
      <c r="J10" s="554"/>
      <c r="K10" s="555" t="s">
        <v>212</v>
      </c>
      <c r="L10" s="556"/>
      <c r="M10" s="557"/>
      <c r="P10" s="45"/>
      <c r="Q10" s="45"/>
    </row>
    <row r="11" spans="2:17" ht="17.25" customHeight="1">
      <c r="B11" s="558" t="s">
        <v>213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214</v>
      </c>
      <c r="C13" s="52" t="s">
        <v>215</v>
      </c>
      <c r="D13" s="53">
        <f>SUMIFS('0702 4度C'!$K:$K,'0702 4度C'!$A:$A,"新豐6線",'0702 4度C'!$B:$B,"平均")</f>
        <v>129.03225806451613</v>
      </c>
      <c r="E13" s="54">
        <f>SUMIFS('0702 4度C'!$K:$K,'0702 4度C'!$A:$A,"新豐2線",'0702 4度C'!$B:$B,"平均")</f>
        <v>88.235294117647058</v>
      </c>
      <c r="F13" s="55">
        <f>SUMIFS('0702 4度C'!$K:$K,'0702 4度C'!$A:$A,"新豐5線",'0702 4度C'!$B:$B,"平均")</f>
        <v>88.461538461538453</v>
      </c>
      <c r="G13" s="55">
        <f>SUMIFS('0702 4度C'!$K:$K,'0702 4度C'!$A:$A,"新豐7線",'0702 4度C'!$B:$B,"平均")</f>
        <v>119.99999999999999</v>
      </c>
      <c r="H13" s="55">
        <f>SUMIFS('0702 4度C'!$K:$K,'0702 4度C'!$A:$A,"新豐3線",'0702 4度C'!$B:$B,"平均")</f>
        <v>300</v>
      </c>
      <c r="I13" s="55">
        <f>SUMIFS('0702 4度C'!$K:$K,'0702 4度C'!$A:$A,"新豐1線",'0702 4度C'!$B:$B,"平均")</f>
        <v>119.65811965811965</v>
      </c>
      <c r="J13" s="56">
        <f>SUMIFS('0702 4度C'!$K:$K,'0702 4度C'!$A:$A,"新豐10線",'0702 4度C'!$B:$B,"平均")</f>
        <v>324.32432432432432</v>
      </c>
      <c r="K13" s="57">
        <f>SUMIFS('0702 4度C'!$K:$K,'0702 4度C'!$A:$A,"新豐8線",'0702 4度C'!$B:$B,"平均")</f>
        <v>137.70491803278691</v>
      </c>
      <c r="L13" s="58">
        <f>SUMIFS('0702 4度C'!$K:$K,'0702 4度C'!$A:$A,"新豐9線",'0702 4度C'!$B:$B,"平均")</f>
        <v>129.91452991452991</v>
      </c>
      <c r="M13" s="56">
        <f>SUMIFS('0702 4度C'!$K:$K,'0702 4度C'!$A:$A,"新豐4線",'0702 4度C'!$B:$B,"平均")</f>
        <v>148.14814814814815</v>
      </c>
    </row>
    <row r="14" spans="2:17" ht="39.6" customHeight="1">
      <c r="B14" s="563"/>
      <c r="C14" s="59" t="s">
        <v>216</v>
      </c>
      <c r="D14" s="60">
        <f>SUMIFS('0702 4度C'!$N:$N,'0702 4度C'!$A:$A,"新豐6線",'0702 4度C'!$B:$B,"平均")</f>
        <v>124.27856348323543</v>
      </c>
      <c r="E14" s="61">
        <f>SUMIFS('0702 4度C'!$N:$N,'0702 4度C'!$A:$A,"新豐2線",'0702 4度C'!$B:$B,"平均")</f>
        <v>84.247164025082583</v>
      </c>
      <c r="F14" s="61">
        <f>SUMIFS('0702 4度C'!$N:$N,'0702 4度C'!$A:$A,"新豐5線",'0702 4度C'!$B:$B,"平均")</f>
        <v>84.237942715033029</v>
      </c>
      <c r="G14" s="61">
        <f>SUMIFS('0702 4度C'!$N:$N,'0702 4度C'!$A:$A,"新豐7線",'0702 4度C'!$B:$B,"平均")</f>
        <v>114.73144351834968</v>
      </c>
      <c r="H14" s="61">
        <f>SUMIFS('0702 4度C'!$N:$N,'0702 4度C'!$A:$A,"新豐3線",'0702 4度C'!$B:$B,"平均")</f>
        <v>287.30354581386996</v>
      </c>
      <c r="I14" s="61">
        <f>SUMIFS('0702 4度C'!$N:$N,'0702 4度C'!$A:$A,"新豐1線",'0702 4度C'!$B:$B,"平均")</f>
        <v>114.46426366953364</v>
      </c>
      <c r="J14" s="62">
        <f>SUMIFS('0702 4度C'!$N:$N,'0702 4度C'!$A:$A,"新豐10線",'0702 4度C'!$B:$B,"平均")</f>
        <v>309.67092188713815</v>
      </c>
      <c r="K14" s="63">
        <f>SUMIFS('0702 4度C'!$N:$N,'0702 4度C'!$A:$A,"新豐8線",'0702 4度C'!$B:$B,"平均")</f>
        <v>131.56813247044479</v>
      </c>
      <c r="L14" s="64">
        <f>SUMIFS('0702 4度C'!$N:$N,'0702 4度C'!$A:$A,"新豐9線",'0702 4度C'!$B:$B,"平均")</f>
        <v>124.46518851131334</v>
      </c>
      <c r="M14" s="62">
        <f>SUMIFS('0702 4度C'!$N:$N,'0702 4度C'!$A:$A,"新豐4線",'0702 4度C'!$B:$B,"平均")</f>
        <v>142.08055926330928</v>
      </c>
    </row>
    <row r="15" spans="2:17" ht="40.15" customHeight="1">
      <c r="B15" s="564"/>
      <c r="C15" s="65" t="s">
        <v>217</v>
      </c>
      <c r="D15" s="66">
        <f t="shared" ref="D15:M15" si="0">D14/D13</f>
        <v>0.96315886699507458</v>
      </c>
      <c r="E15" s="67">
        <f t="shared" si="0"/>
        <v>0.9548011922842693</v>
      </c>
      <c r="F15" s="67">
        <f t="shared" si="0"/>
        <v>0.95225500460472123</v>
      </c>
      <c r="G15" s="67">
        <f t="shared" si="0"/>
        <v>0.95609536265291406</v>
      </c>
      <c r="H15" s="67">
        <f t="shared" si="0"/>
        <v>0.95767848604623318</v>
      </c>
      <c r="I15" s="67">
        <f t="shared" si="0"/>
        <v>0.95659420352395974</v>
      </c>
      <c r="J15" s="68">
        <f t="shared" si="0"/>
        <v>0.95481867581867597</v>
      </c>
      <c r="K15" s="66">
        <f t="shared" si="0"/>
        <v>0.95543524770203947</v>
      </c>
      <c r="L15" s="67">
        <f t="shared" si="0"/>
        <v>0.95805441156734616</v>
      </c>
      <c r="M15" s="68">
        <f t="shared" si="0"/>
        <v>0.95904377502733762</v>
      </c>
    </row>
    <row r="16" spans="2:17" ht="17.25" customHeight="1">
      <c r="B16" s="565" t="s">
        <v>218</v>
      </c>
      <c r="C16" s="69" t="s">
        <v>219</v>
      </c>
      <c r="D16" s="70">
        <f>VLOOKUP("新豐6線",'0702 4度C'!$A:$T,19,0)</f>
        <v>0.70833333333333337</v>
      </c>
      <c r="E16" s="71">
        <f>VLOOKUP("新豐2線",'0702 4度C'!$A:$T,19,0)</f>
        <v>0.125</v>
      </c>
      <c r="F16" s="71">
        <f>VLOOKUP("新豐5線",'0702 4度C'!$A:$T,19,0)</f>
        <v>8.3333333333333329E-2</v>
      </c>
      <c r="G16" s="71">
        <f>VLOOKUP("新豐7線",'0702 4度C'!$A:$T,19,0)</f>
        <v>0.20833333333333334</v>
      </c>
      <c r="H16" s="71">
        <f>VLOOKUP("新豐3線",'0702 4度C'!$A:$T,19,0)</f>
        <v>0.20833333333333334</v>
      </c>
      <c r="I16" s="71">
        <f>VLOOKUP("新豐1線",'0702 4度C'!$A:$T,19,0)</f>
        <v>0.20833333333333334</v>
      </c>
      <c r="J16" s="72">
        <f>VLOOKUP("新豐10線",'0702 4度C'!$A:$T,19,0)</f>
        <v>0.20833333333333334</v>
      </c>
      <c r="K16" s="73">
        <f>VLOOKUP("新豐8線",'0702 4度C'!$A:$T,19,0)</f>
        <v>8.3333333333333329E-2</v>
      </c>
      <c r="L16" s="74">
        <f>VLOOKUP("新豐9線",'0702 4度C'!$A:$T,19,0)</f>
        <v>8.3333333333333329E-2</v>
      </c>
      <c r="M16" s="75">
        <f>VLOOKUP("新豐4線",'0702 4度C'!$A:$T,19,0)</f>
        <v>8.3333333333333329E-2</v>
      </c>
    </row>
    <row r="17" spans="2:13" ht="17.25" customHeight="1">
      <c r="B17" s="566"/>
      <c r="C17" s="69" t="s">
        <v>220</v>
      </c>
      <c r="D17" s="73">
        <f>LOOKUP(2,1/(('0702 4度C'!$A:$A="新豐6線")*('0702 4度C'!$T:$T&lt;&gt;"")),'0702 4度C'!$T:$T)</f>
        <v>0.79305555555555551</v>
      </c>
      <c r="E17" s="71">
        <f>LOOKUP(2,1/(('0702 4度C'!$A:$A="新豐2線")*('0702 4度C'!$T:$T&lt;&gt;"")),'0702 4度C'!$T:$T)</f>
        <v>0.60416666666666663</v>
      </c>
      <c r="F17" s="71">
        <f>LOOKUP(2,1/(('0702 4度C'!$A:$A="新豐5線")*('0702 4度C'!$T:$T&lt;&gt;"")),'0702 4度C'!$T:$T)</f>
        <v>0.77500000000000002</v>
      </c>
      <c r="G17" s="71">
        <f>LOOKUP(2,1/(('0702 4度C'!$A:$A="新豐7線")*('0702 4度C'!$T:$T&lt;&gt;"")),'0702 4度C'!$T:$T)</f>
        <v>0.79722222222222228</v>
      </c>
      <c r="H17" s="71">
        <f>LOOKUP(2,1/(('0702 4度C'!$A:$A="新豐3線")*('0702 4度C'!$T:$T&lt;&gt;"")),'0702 4度C'!$T:$T)</f>
        <v>0.41875000000000001</v>
      </c>
      <c r="I17" s="71">
        <f>LOOKUP(2,1/(('0702 4度C'!$A:$A="新豐1線")*('0702 4度C'!$T:$T&lt;&gt;"")),'0702 4度C'!$T:$T)</f>
        <v>0.81041666666666667</v>
      </c>
      <c r="J17" s="72">
        <f>LOOKUP(2,1/(('0702 4度C'!$A:$A="新豐10線")*('0702 4度C'!$T:$T&lt;&gt;"")),'0702 4度C'!$T:$T)</f>
        <v>0.41180555555555548</v>
      </c>
      <c r="K17" s="70">
        <f>LOOKUP(2,1/(('0702 4度C'!$A:$A="新豐8線")*('0702 4度C'!$T:$T&lt;&gt;"")),'0702 4度C'!$T:$T)</f>
        <v>0.68472222222222212</v>
      </c>
      <c r="L17" s="71">
        <f>LOOKUP(2,1/(('0702 4度C'!$A:$A="新豐9線")*('0702 4度C'!$T:$T&lt;&gt;"")),'0702 4度C'!$T:$T)</f>
        <v>0.68541666666666656</v>
      </c>
      <c r="M17" s="72">
        <f>LOOKUP(2,1/(('0702 4度C'!$A:$A="新豐4線")*('0702 4度C'!$T:$T&lt;&gt;"")),'0702 4度C'!$T:$T)</f>
        <v>0.51111111111111107</v>
      </c>
    </row>
    <row r="18" spans="2:13" ht="17.25" customHeight="1">
      <c r="B18" s="544" t="s">
        <v>221</v>
      </c>
      <c r="C18" s="76" t="s">
        <v>222</v>
      </c>
      <c r="D18" s="77">
        <f>SUMIFS('0702 4度C'!$Y:$Y,'0702 4度C'!$A:$A,"新豐6線",'0702 4度C'!$B:$B,"平均")</f>
        <v>0</v>
      </c>
      <c r="E18" s="78">
        <f>SUMIFS('0702 4度C'!$Y:$Y,'0702 4度C'!$A:$A,"新豐2線",'0702 4度C'!$B:$B,"平均")</f>
        <v>0</v>
      </c>
      <c r="F18" s="78">
        <f>SUMIFS('0702 4度C'!$Y:$Y,'0702 4度C'!$A:$A,"新豐5線",'0702 4度C'!$B:$B,"平均")</f>
        <v>0</v>
      </c>
      <c r="G18" s="78">
        <f>SUMIFS('0702 4度C'!$Y:$Y,'0702 4度C'!$A:$A,"新豐7線",'0702 4度C'!$B:$B,"平均")</f>
        <v>0</v>
      </c>
      <c r="H18" s="78">
        <f>SUMIFS('0702 4度C'!$Y:$Y,'0702 4度C'!$A:$A,"新豐3線",'0702 4度C'!$B:$B,"平均")</f>
        <v>0</v>
      </c>
      <c r="I18" s="78">
        <f>SUMIFS('0702 4度C'!$Y:$Y,'0702 4度C'!$A:$A,"新豐1線",'0702 4度C'!$B:$B,"平均")</f>
        <v>0</v>
      </c>
      <c r="J18" s="79">
        <f>SUMIFS('0702 4度C'!$Y:$Y,'0702 4度C'!$A:$A,"新豐10線",'0702 4度C'!$B:$B,"平均")</f>
        <v>0</v>
      </c>
      <c r="K18" s="80">
        <f>SUMIFS('0702 4度C'!$Y:$Y,'0702 4度C'!$A:$A,"新豐8線",'0702 4度C'!$B:$B,"平均")</f>
        <v>0</v>
      </c>
      <c r="L18" s="78">
        <f>SUMIFS('0702 4度C'!$Y:$Y,'0702 4度C'!$A:$A,"新豐9線",'0702 4度C'!$B:$B,"平均")</f>
        <v>0</v>
      </c>
      <c r="M18" s="79">
        <f>SUMIFS('0702 4度C'!$Y:$Y,'0702 4度C'!$A:$A,"新豐4線",'0702 4度C'!$B:$B,"平均")</f>
        <v>0</v>
      </c>
    </row>
    <row r="19" spans="2:13" ht="17.25" customHeight="1">
      <c r="B19" s="545"/>
      <c r="C19" s="76" t="s">
        <v>223</v>
      </c>
      <c r="D19" s="77">
        <f>SUMIFS('0702 4度C'!$Z:$Z,'0702 4度C'!$A:$A,"新豐6線",'0702 4度C'!$B:$B,"平均")</f>
        <v>0</v>
      </c>
      <c r="E19" s="78">
        <f>SUMIFS('0702 4度C'!$Z:$Z,'0702 4度C'!$A:$A,"新豐2線",'0702 4度C'!$B:$B,"平均")</f>
        <v>0</v>
      </c>
      <c r="F19" s="78">
        <f>SUMIFS('0702 4度C'!$Z:$Z,'0702 4度C'!$A:$A,"新豐5線",'0702 4度C'!$B:$B,"平均")</f>
        <v>0</v>
      </c>
      <c r="G19" s="78">
        <f>SUMIFS('0702 4度C'!$Z:$Z,'0702 4度C'!$A:$A,"新豐7線",'0702 4度C'!$B:$B,"平均")</f>
        <v>0</v>
      </c>
      <c r="H19" s="78">
        <f>SUMIFS('0702 4度C'!$Z:$Z,'0702 4度C'!$A:$A,"新豐3線",'0702 4度C'!$B:$B,"平均")</f>
        <v>0</v>
      </c>
      <c r="I19" s="78">
        <f>SUMIFS('0702 4度C'!$Z:$Z,'0702 4度C'!$A:$A,"新豐1線",'0702 4度C'!$B:$B,"平均")</f>
        <v>0</v>
      </c>
      <c r="J19" s="79">
        <f>SUMIFS('0702 4度C'!$Z:$Z,'0702 4度C'!$A:$A,"新豐10線",'0702 4度C'!$B:$B,"平均")</f>
        <v>0</v>
      </c>
      <c r="K19" s="80">
        <f>SUMIFS('0702 4度C'!$Z:$Z,'0702 4度C'!$A:$A,"新豐8線",'0702 4度C'!$B:$B,"平均")</f>
        <v>0</v>
      </c>
      <c r="L19" s="78">
        <f>SUMIFS('0702 4度C'!$Z:$Z,'0702 4度C'!$A:$A,"新豐9線",'0702 4度C'!$B:$B,"平均")</f>
        <v>0</v>
      </c>
      <c r="M19" s="79">
        <f>SUMIFS('0702 4度C'!$Z:$Z,'0702 4度C'!$A:$A,"新豐4線",'0702 4度C'!$B:$B,"平均")</f>
        <v>0</v>
      </c>
    </row>
    <row r="20" spans="2:13" ht="17.25" customHeight="1">
      <c r="B20" s="544" t="s">
        <v>224</v>
      </c>
      <c r="C20" s="76" t="s">
        <v>225</v>
      </c>
      <c r="D20" s="77">
        <f>SUMIFS('0702 4度C'!$AC:$AC,'0702 4度C'!$A:$A,"新豐6線",'0702 4度C'!$B:$B,"平均")</f>
        <v>2</v>
      </c>
      <c r="E20" s="78">
        <f>SUMIFS('0702 4度C'!$AC:$AC,'0702 4度C'!$A:$A,"新豐2線",'0702 4度C'!$B:$B,"平均")</f>
        <v>4</v>
      </c>
      <c r="F20" s="78">
        <f>SUMIFS('0702 4度C'!$AC:$AC,'0702 4度C'!$A:$A,"新豐5線",'0702 4度C'!$B:$B,"平均")</f>
        <v>7</v>
      </c>
      <c r="G20" s="78">
        <f>SUMIFS('0702 4度C'!$AC:$AC,'0702 4度C'!$A:$A,"新豐7線",'0702 4度C'!$B:$B,"平均")</f>
        <v>6</v>
      </c>
      <c r="H20" s="78">
        <f>SUMIFS('0702 4度C'!$AC:$AC,'0702 4度C'!$A:$A,"新豐3線",'0702 4度C'!$B:$B,"平均")</f>
        <v>3</v>
      </c>
      <c r="I20" s="78">
        <f>SUMIFS('0702 4度C'!$AC:$AC,'0702 4度C'!$A:$A,"新豐1線",'0702 4度C'!$B:$B,"平均")</f>
        <v>7</v>
      </c>
      <c r="J20" s="79">
        <f>SUMIFS('0702 4度C'!$AC:$AC,'0702 4度C'!$A:$A,"新豐10線",'0702 4度C'!$B:$B,"平均")</f>
        <v>4</v>
      </c>
      <c r="K20" s="80">
        <f>SUMIFS('0702 4度C'!$AC:$AC,'0702 4度C'!$A:$A,"新豐8線",'0702 4度C'!$B:$B,"平均")</f>
        <v>7</v>
      </c>
      <c r="L20" s="78">
        <f>SUMIFS('0702 4度C'!$AC:$AC,'0702 4度C'!$A:$A,"新豐9線",'0702 4度C'!$B:$B,"平均")</f>
        <v>7</v>
      </c>
      <c r="M20" s="79">
        <f>SUMIFS('0702 4度C'!$AC:$AC,'0702 4度C'!$A:$A,"新豐4線",'0702 4度C'!$B:$B,"平均")</f>
        <v>5</v>
      </c>
    </row>
    <row r="21" spans="2:13" ht="17.25" customHeight="1">
      <c r="B21" s="545"/>
      <c r="C21" s="76" t="s">
        <v>117</v>
      </c>
      <c r="D21" s="77">
        <f>SUMIFS('0702 4度C'!$AD:$AD,'0702 4度C'!$A:$A,"新豐6線",'0702 4度C'!$B:$B,"平均")</f>
        <v>0</v>
      </c>
      <c r="E21" s="78">
        <f>SUMIFS('0702 4度C'!$AD:$AD,'0702 4度C'!$A:$A,"新豐2線",'0702 4度C'!$B:$B,"平均")</f>
        <v>0</v>
      </c>
      <c r="F21" s="78">
        <f>SUMIFS('0702 4度C'!$AD:$AD,'0702 4度C'!$A:$A,"新豐5線",'0702 4度C'!$B:$B,"平均")</f>
        <v>0</v>
      </c>
      <c r="G21" s="78">
        <f>SUMIFS('0702 4度C'!$AD:$AD,'0702 4度C'!$A:$A,"新豐7線",'0702 4度C'!$B:$B,"平均")</f>
        <v>0</v>
      </c>
      <c r="H21" s="78">
        <f>SUMIFS('0702 4度C'!$AD:$AD,'0702 4度C'!$A:$A,"新豐3線",'0702 4度C'!$B:$B,"平均")</f>
        <v>0</v>
      </c>
      <c r="I21" s="78">
        <f>SUMIFS('0702 4度C'!$AD:$AD,'0702 4度C'!$A:$A,"新豐1線",'0702 4度C'!$B:$B,"平均")</f>
        <v>0</v>
      </c>
      <c r="J21" s="79">
        <f>SUMIFS('0702 4度C'!$AD:$AD,'0702 4度C'!$A:$A,"新豐10線",'0702 4度C'!$B:$B,"平均")</f>
        <v>0</v>
      </c>
      <c r="K21" s="80">
        <f>SUMIFS('0702 4度C'!$AD:$AD,'0702 4度C'!$A:$A,"新豐8線",'0702 4度C'!$B:$B,"平均")</f>
        <v>0</v>
      </c>
      <c r="L21" s="78">
        <f>SUMIFS('0702 4度C'!$AD:$AD,'0702 4度C'!$A:$A,"新豐9線",'0702 4度C'!$B:$B,"平均")</f>
        <v>0</v>
      </c>
      <c r="M21" s="79">
        <f>SUMIFS('0702 4度C'!$AD:$AD,'0702 4度C'!$A:$A,"新豐4線",'0702 4度C'!$B:$B,"平均")</f>
        <v>0</v>
      </c>
    </row>
    <row r="22" spans="2:13" ht="17.25" customHeight="1">
      <c r="B22" s="546" t="s">
        <v>226</v>
      </c>
      <c r="C22" s="547"/>
      <c r="D22" s="81">
        <f>SUMIFS('0702 4度C'!$I:$I,'0702 4度C'!$A:$A,"新豐6線",'0702 4度C'!$B:$B,"平均")</f>
        <v>15.5</v>
      </c>
      <c r="E22" s="82">
        <f>SUMIFS('0702 4度C'!$I:$I,'0702 4度C'!$A:$A,"新豐2線",'0702 4度C'!$B:$B,"平均")</f>
        <v>17</v>
      </c>
      <c r="F22" s="82">
        <f>SUMIFS('0702 4度C'!$I:$I,'0702 4度C'!$A:$A,"新豐5線",'0702 4度C'!$B:$B,"平均")</f>
        <v>18.571428571428573</v>
      </c>
      <c r="G22" s="82">
        <f>SUMIFS('0702 4度C'!$I:$I,'0702 4度C'!$A:$A,"新豐7線",'0702 4度C'!$B:$B,"平均")</f>
        <v>16.666666666666668</v>
      </c>
      <c r="H22" s="82">
        <f>SUMIFS('0702 4度C'!$I:$I,'0702 4度C'!$A:$A,"新豐3線",'0702 4度C'!$B:$B,"平均")</f>
        <v>10</v>
      </c>
      <c r="I22" s="82">
        <f>SUMIFS('0702 4度C'!$I:$I,'0702 4度C'!$A:$A,"新豐1線",'0702 4度C'!$B:$B,"平均")</f>
        <v>16.714285714285715</v>
      </c>
      <c r="J22" s="83">
        <f>SUMIFS('0702 4度C'!$I:$I,'0702 4度C'!$A:$A,"新豐10線",'0702 4度C'!$B:$B,"平均")</f>
        <v>9.25</v>
      </c>
      <c r="K22" s="81">
        <f>SUMIFS('0702 4度C'!$I:$I,'0702 4度C'!$A:$A,"新豐8線",'0702 4度C'!$B:$B,"平均")</f>
        <v>17.428571428571427</v>
      </c>
      <c r="L22" s="82">
        <f>SUMIFS('0702 4度C'!$I:$I,'0702 4度C'!$A:$A,"新豐9線",'0702 4度C'!$B:$B,"平均")</f>
        <v>16.714285714285715</v>
      </c>
      <c r="M22" s="83">
        <f>SUMIFS('0702 4度C'!$I:$I,'0702 4度C'!$A:$A,"新豐4線",'0702 4度C'!$B:$B,"平均")</f>
        <v>16.2</v>
      </c>
    </row>
    <row r="23" spans="2:13" ht="17.25" customHeight="1">
      <c r="B23" s="546" t="s">
        <v>227</v>
      </c>
      <c r="C23" s="547"/>
      <c r="D23" s="84" t="s">
        <v>54</v>
      </c>
      <c r="E23" s="85" t="s">
        <v>55</v>
      </c>
      <c r="F23" s="85" t="s">
        <v>228</v>
      </c>
      <c r="G23" s="85" t="s">
        <v>228</v>
      </c>
      <c r="H23" s="85" t="s">
        <v>56</v>
      </c>
      <c r="I23" s="85" t="s">
        <v>54</v>
      </c>
      <c r="J23" s="86" t="s">
        <v>56</v>
      </c>
      <c r="K23" s="84" t="s">
        <v>229</v>
      </c>
      <c r="L23" s="85" t="s">
        <v>230</v>
      </c>
      <c r="M23" s="86" t="s">
        <v>231</v>
      </c>
    </row>
    <row r="24" spans="2:13" ht="17.25" customHeight="1">
      <c r="B24" s="546" t="s">
        <v>232</v>
      </c>
      <c r="C24" s="547"/>
      <c r="D24" s="84"/>
      <c r="E24" s="85"/>
      <c r="F24" s="85" t="s">
        <v>233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234</v>
      </c>
      <c r="C25" s="549"/>
      <c r="D25" s="87"/>
      <c r="E25" s="88" t="s">
        <v>235</v>
      </c>
      <c r="F25" s="542" t="s">
        <v>236</v>
      </c>
      <c r="G25" s="543"/>
      <c r="H25" s="88" t="s">
        <v>237</v>
      </c>
      <c r="I25" s="88" t="s">
        <v>238</v>
      </c>
      <c r="J25" s="89" t="s">
        <v>239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7"/>
  <sheetViews>
    <sheetView topLeftCell="H1" zoomScale="80" zoomScaleNormal="80" workbookViewId="0">
      <pane ySplit="4" topLeftCell="A5" activePane="bottomLeft" state="frozen"/>
      <selection activeCell="I6" sqref="I6:J6"/>
      <selection pane="bottomLeft" activeCell="U26" sqref="U26:X6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1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240</v>
      </c>
      <c r="B1" s="1"/>
      <c r="C1" s="2" t="s">
        <v>130</v>
      </c>
      <c r="D1" s="3">
        <f>SUM(F5:F66)</f>
        <v>159832</v>
      </c>
      <c r="E1" s="111" t="s">
        <v>241</v>
      </c>
      <c r="F1" s="1">
        <f>SUM(G5:G66)</f>
        <v>5355732.379999999</v>
      </c>
      <c r="G1" s="1" t="s">
        <v>132</v>
      </c>
      <c r="H1" s="4">
        <f>L7+L12+L47+L55+L20+L60+L35+L43+L27+L66</f>
        <v>154.04523809523809</v>
      </c>
      <c r="I1" s="654" t="s">
        <v>133</v>
      </c>
      <c r="J1" s="654"/>
      <c r="K1" s="654"/>
      <c r="L1" s="654" t="s">
        <v>242</v>
      </c>
      <c r="M1" s="654"/>
      <c r="N1" s="654"/>
      <c r="O1" s="654" t="s">
        <v>243</v>
      </c>
      <c r="P1" s="654"/>
      <c r="Q1" s="654"/>
      <c r="R1" s="654"/>
      <c r="S1" s="654" t="s">
        <v>244</v>
      </c>
      <c r="T1" s="654"/>
      <c r="U1" s="654"/>
      <c r="V1" s="654"/>
      <c r="W1" s="654"/>
      <c r="X1" s="654"/>
      <c r="Y1" s="5" t="s">
        <v>245</v>
      </c>
      <c r="Z1" s="6" t="s">
        <v>246</v>
      </c>
      <c r="AA1" s="655" t="s">
        <v>247</v>
      </c>
      <c r="AB1" s="655"/>
      <c r="AC1" s="134" t="s">
        <v>245</v>
      </c>
      <c r="AD1" s="6" t="s">
        <v>248</v>
      </c>
      <c r="AE1" s="654" t="s">
        <v>249</v>
      </c>
      <c r="AF1" s="656"/>
      <c r="AG1" s="656"/>
    </row>
    <row r="2" spans="1:33" ht="26.25" customHeight="1">
      <c r="A2" s="25">
        <v>46205</v>
      </c>
      <c r="B2" s="26" t="s">
        <v>250</v>
      </c>
      <c r="C2" s="2" t="s">
        <v>251</v>
      </c>
      <c r="D2" s="8">
        <f>AVERAGE(N7,N12,N47,N55,N20,N60,N27,N35,N43,N66)</f>
        <v>151.704772535731</v>
      </c>
      <c r="E2" s="9" t="s">
        <v>0</v>
      </c>
      <c r="F2" s="10">
        <f>F1/D1</f>
        <v>33.508511311877463</v>
      </c>
      <c r="G2" s="1" t="s">
        <v>143</v>
      </c>
      <c r="H2" s="120">
        <f>COUNT(H5:H66)</f>
        <v>5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SUM(Y7+Y12+Y20+Y27+Y35+Y43+Y47+Y55+Y60+Y66)</f>
        <v>0</v>
      </c>
      <c r="Z2" s="11">
        <f>SUM(Z7+Z12+Z20+Z27+Z35+Z43+Z47+Z55+Z60+Z66)</f>
        <v>0</v>
      </c>
      <c r="AA2" s="655"/>
      <c r="AB2" s="655"/>
      <c r="AC2" s="135">
        <v>52</v>
      </c>
      <c r="AD2" s="11">
        <f>SUM(AD7+AD12+AD20+AD27+AD35+AD43+AD47+AD55+AD60+AD66)</f>
        <v>0</v>
      </c>
      <c r="AE2" s="656"/>
      <c r="AF2" s="656"/>
      <c r="AG2" s="656"/>
    </row>
    <row r="3" spans="1:33" ht="40.5" customHeight="1">
      <c r="A3" s="612" t="s">
        <v>252</v>
      </c>
      <c r="B3" s="612" t="s">
        <v>253</v>
      </c>
      <c r="C3" s="612" t="s">
        <v>254</v>
      </c>
      <c r="D3" s="612"/>
      <c r="E3" s="652" t="s">
        <v>147</v>
      </c>
      <c r="F3" s="612" t="s">
        <v>255</v>
      </c>
      <c r="G3" s="652" t="s">
        <v>256</v>
      </c>
      <c r="H3" s="645" t="s">
        <v>257</v>
      </c>
      <c r="I3" s="644" t="s">
        <v>156</v>
      </c>
      <c r="J3" s="641" t="s">
        <v>151</v>
      </c>
      <c r="K3" s="650" t="s">
        <v>251</v>
      </c>
      <c r="L3" s="644" t="s">
        <v>156</v>
      </c>
      <c r="M3" s="641" t="s">
        <v>151</v>
      </c>
      <c r="N3" s="650" t="s">
        <v>107</v>
      </c>
      <c r="O3" s="644" t="s">
        <v>156</v>
      </c>
      <c r="P3" s="650" t="s">
        <v>107</v>
      </c>
      <c r="Q3" s="642" t="s">
        <v>258</v>
      </c>
      <c r="R3" s="621" t="s">
        <v>159</v>
      </c>
      <c r="S3" s="651" t="s">
        <v>1</v>
      </c>
      <c r="T3" s="651"/>
      <c r="U3" s="645" t="s">
        <v>2</v>
      </c>
      <c r="V3" s="645" t="s">
        <v>259</v>
      </c>
      <c r="W3" s="612" t="s">
        <v>260</v>
      </c>
      <c r="X3" s="612"/>
      <c r="Y3" s="646" t="s">
        <v>261</v>
      </c>
      <c r="Z3" s="611"/>
      <c r="AA3" s="647" t="s">
        <v>262</v>
      </c>
      <c r="AB3" s="648"/>
      <c r="AC3" s="646" t="s">
        <v>263</v>
      </c>
      <c r="AD3" s="611"/>
      <c r="AE3" s="641" t="s">
        <v>264</v>
      </c>
      <c r="AF3" s="642" t="s">
        <v>265</v>
      </c>
      <c r="AG3" s="621" t="s">
        <v>266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19" t="s">
        <v>3</v>
      </c>
      <c r="T4" s="119" t="s">
        <v>4</v>
      </c>
      <c r="U4" s="645"/>
      <c r="V4" s="645"/>
      <c r="W4" s="111" t="s">
        <v>267</v>
      </c>
      <c r="X4" s="111" t="s">
        <v>268</v>
      </c>
      <c r="Y4" s="109" t="s">
        <v>269</v>
      </c>
      <c r="Z4" s="109" t="s">
        <v>270</v>
      </c>
      <c r="AA4" s="649"/>
      <c r="AB4" s="648"/>
      <c r="AC4" s="109" t="s">
        <v>271</v>
      </c>
      <c r="AD4" s="109" t="s">
        <v>272</v>
      </c>
      <c r="AE4" s="641"/>
      <c r="AF4" s="642"/>
      <c r="AG4" s="621"/>
    </row>
    <row r="5" spans="1:33">
      <c r="A5" s="643" t="s">
        <v>273</v>
      </c>
      <c r="B5" s="27" t="s">
        <v>5</v>
      </c>
      <c r="C5" s="657" t="s">
        <v>14</v>
      </c>
      <c r="D5" s="657"/>
      <c r="E5" s="27">
        <v>50.92</v>
      </c>
      <c r="F5" s="119">
        <v>1798</v>
      </c>
      <c r="G5" s="111">
        <f t="shared" ref="G5:G6" si="0">E5*F5</f>
        <v>91554.16</v>
      </c>
      <c r="H5" s="31" t="s">
        <v>40</v>
      </c>
      <c r="I5" s="117">
        <v>15</v>
      </c>
      <c r="J5" s="29">
        <v>2000</v>
      </c>
      <c r="K5" s="12">
        <f t="shared" ref="K5:K66" si="1">J5/I5</f>
        <v>133.33333333333334</v>
      </c>
      <c r="L5" s="117">
        <v>15</v>
      </c>
      <c r="M5" s="13">
        <f t="shared" ref="M5:M6" si="2">F5/V5*60</f>
        <v>1926.4285714285729</v>
      </c>
      <c r="N5" s="12">
        <f t="shared" ref="N5:N66" si="3">M5/L5</f>
        <v>128.42857142857153</v>
      </c>
      <c r="O5" s="14">
        <f t="shared" ref="O5:O66" si="4">L5-I5</f>
        <v>0</v>
      </c>
      <c r="P5" s="15">
        <f t="shared" ref="P5:P66" si="5">N5-K5</f>
        <v>-4.9047619047618127</v>
      </c>
      <c r="Q5" s="110">
        <f t="shared" ref="Q5:Q66" si="6">N5/K5</f>
        <v>0.96321428571428636</v>
      </c>
      <c r="R5" s="616">
        <f>Q7</f>
        <v>0.96315886699507458</v>
      </c>
      <c r="S5" s="32">
        <v>0.70833333333333337</v>
      </c>
      <c r="T5" s="32">
        <v>0.74722222222222223</v>
      </c>
      <c r="U5" s="111"/>
      <c r="V5" s="118">
        <f t="shared" ref="V5:V6" si="7">(T5-S5)*24*60</f>
        <v>55.999999999999957</v>
      </c>
      <c r="W5" s="16"/>
      <c r="X5" s="17"/>
      <c r="Y5" s="17"/>
      <c r="Z5" s="17"/>
      <c r="AA5" s="612"/>
      <c r="AB5" s="612"/>
      <c r="AC5" s="136">
        <v>2</v>
      </c>
      <c r="AD5" s="18"/>
      <c r="AE5" s="14">
        <f t="shared" ref="AE5:AE54" si="8">M5-J5</f>
        <v>-73.571428571427077</v>
      </c>
      <c r="AF5" s="110">
        <f t="shared" ref="AF5:AF66" si="9">M5/J5</f>
        <v>0.96321428571428647</v>
      </c>
      <c r="AG5" s="616">
        <f>AF7</f>
        <v>0.96315886699507458</v>
      </c>
    </row>
    <row r="6" spans="1:33">
      <c r="A6" s="644" t="s">
        <v>274</v>
      </c>
      <c r="B6" s="27" t="s">
        <v>5</v>
      </c>
      <c r="C6" s="657" t="s">
        <v>19</v>
      </c>
      <c r="D6" s="657"/>
      <c r="E6" s="27">
        <v>50.98</v>
      </c>
      <c r="F6" s="119">
        <v>1862</v>
      </c>
      <c r="G6" s="111">
        <f t="shared" si="0"/>
        <v>94924.76</v>
      </c>
      <c r="H6" s="31" t="s">
        <v>40</v>
      </c>
      <c r="I6" s="117">
        <v>16</v>
      </c>
      <c r="J6" s="29">
        <v>2000</v>
      </c>
      <c r="K6" s="12">
        <f t="shared" si="1"/>
        <v>125</v>
      </c>
      <c r="L6" s="117">
        <v>16</v>
      </c>
      <c r="M6" s="13">
        <f t="shared" si="2"/>
        <v>1926.2068965517255</v>
      </c>
      <c r="N6" s="12">
        <f t="shared" si="3"/>
        <v>120.38793103448285</v>
      </c>
      <c r="O6" s="14">
        <f t="shared" si="4"/>
        <v>0</v>
      </c>
      <c r="P6" s="15">
        <f t="shared" si="5"/>
        <v>-4.6120689655171532</v>
      </c>
      <c r="Q6" s="110">
        <f t="shared" si="6"/>
        <v>0.96310344827586281</v>
      </c>
      <c r="R6" s="616"/>
      <c r="S6" s="32">
        <v>0.75277777777777777</v>
      </c>
      <c r="T6" s="32">
        <v>0.79305555555555551</v>
      </c>
      <c r="U6" s="111">
        <f t="shared" ref="U6" si="10">IF(S6=TIME(17,0,0),"",(S6-T5)*24*60)</f>
        <v>7.9999999999999716</v>
      </c>
      <c r="V6" s="118">
        <f t="shared" si="7"/>
        <v>57.999999999999957</v>
      </c>
      <c r="W6" s="16"/>
      <c r="X6" s="16"/>
      <c r="Y6" s="16"/>
      <c r="Z6" s="16"/>
      <c r="AA6" s="612"/>
      <c r="AB6" s="612"/>
      <c r="AC6" s="136"/>
      <c r="AD6" s="18"/>
      <c r="AE6" s="14">
        <f t="shared" si="8"/>
        <v>-73.793103448274451</v>
      </c>
      <c r="AF6" s="110">
        <f t="shared" si="9"/>
        <v>0.96310344827586281</v>
      </c>
      <c r="AG6" s="616"/>
    </row>
    <row r="7" spans="1:33">
      <c r="A7" s="644" t="s">
        <v>274</v>
      </c>
      <c r="B7" s="27" t="s">
        <v>275</v>
      </c>
      <c r="C7" s="658"/>
      <c r="D7" s="658"/>
      <c r="E7" s="112"/>
      <c r="F7" s="28"/>
      <c r="G7" s="12"/>
      <c r="H7" s="119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1926.3177339901492</v>
      </c>
      <c r="N7" s="12">
        <f t="shared" si="3"/>
        <v>124.27856348323543</v>
      </c>
      <c r="O7" s="14">
        <f t="shared" si="4"/>
        <v>0</v>
      </c>
      <c r="P7" s="15">
        <f t="shared" si="5"/>
        <v>-4.7536945812806977</v>
      </c>
      <c r="Q7" s="110">
        <f t="shared" si="6"/>
        <v>0.96315886699507458</v>
      </c>
      <c r="R7" s="616"/>
      <c r="S7" s="32"/>
      <c r="T7" s="32"/>
      <c r="U7" s="111"/>
      <c r="V7" s="118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-73.682266009850764</v>
      </c>
      <c r="AF7" s="110">
        <f t="shared" si="9"/>
        <v>0.96315886699507458</v>
      </c>
      <c r="AG7" s="616"/>
    </row>
    <row r="8" spans="1:33" ht="15.75" customHeight="1">
      <c r="A8" s="640" t="s">
        <v>276</v>
      </c>
      <c r="B8" s="27" t="s">
        <v>8</v>
      </c>
      <c r="C8" s="638" t="s">
        <v>9</v>
      </c>
      <c r="D8" s="639"/>
      <c r="E8" s="27">
        <v>39.619999999999997</v>
      </c>
      <c r="F8" s="119">
        <v>4374</v>
      </c>
      <c r="G8" s="111">
        <f t="shared" ref="G8:G11" si="11">E8*F8</f>
        <v>173297.87999999998</v>
      </c>
      <c r="H8" s="31" t="s">
        <v>40</v>
      </c>
      <c r="I8" s="117">
        <v>19</v>
      </c>
      <c r="J8" s="29">
        <v>1500</v>
      </c>
      <c r="K8" s="12">
        <f t="shared" si="1"/>
        <v>78.94736842105263</v>
      </c>
      <c r="L8" s="117">
        <v>19</v>
      </c>
      <c r="M8" s="13">
        <f t="shared" ref="M8:M11" si="12">F8/V8*60</f>
        <v>1434.0983606557377</v>
      </c>
      <c r="N8" s="12">
        <f t="shared" si="3"/>
        <v>75.478861087144082</v>
      </c>
      <c r="O8" s="14">
        <f t="shared" si="4"/>
        <v>0</v>
      </c>
      <c r="P8" s="15">
        <f t="shared" si="5"/>
        <v>-3.4685073339085477</v>
      </c>
      <c r="Q8" s="110">
        <f t="shared" si="6"/>
        <v>0.95606557377049173</v>
      </c>
      <c r="R8" s="616">
        <f>Q12</f>
        <v>0.9548011922842693</v>
      </c>
      <c r="S8" s="32">
        <v>0.125</v>
      </c>
      <c r="T8" s="32">
        <v>0.25208333333333333</v>
      </c>
      <c r="U8" s="111"/>
      <c r="V8" s="118">
        <f t="shared" ref="V8:V11" si="13">(T8-S8)*24*60</f>
        <v>183</v>
      </c>
      <c r="W8" s="16">
        <f>T8</f>
        <v>0.25208333333333333</v>
      </c>
      <c r="X8" s="16">
        <f>S9</f>
        <v>0.27083333333333331</v>
      </c>
      <c r="Y8" s="16"/>
      <c r="Z8" s="16"/>
      <c r="AA8" s="612"/>
      <c r="AB8" s="612"/>
      <c r="AC8" s="136">
        <v>4</v>
      </c>
      <c r="AD8" s="18"/>
      <c r="AE8" s="14">
        <f t="shared" si="8"/>
        <v>-65.901639344262321</v>
      </c>
      <c r="AF8" s="110">
        <f t="shared" si="9"/>
        <v>0.95606557377049184</v>
      </c>
      <c r="AG8" s="616">
        <f>AF12</f>
        <v>0.9548011922842693</v>
      </c>
    </row>
    <row r="9" spans="1:33" ht="15.75" customHeight="1">
      <c r="A9" s="640" t="s">
        <v>176</v>
      </c>
      <c r="B9" s="27" t="s">
        <v>8</v>
      </c>
      <c r="C9" s="638" t="s">
        <v>63</v>
      </c>
      <c r="D9" s="639"/>
      <c r="E9" s="27">
        <v>39.46</v>
      </c>
      <c r="F9" s="119">
        <v>3882</v>
      </c>
      <c r="G9" s="111">
        <f t="shared" si="11"/>
        <v>153183.72</v>
      </c>
      <c r="H9" s="31" t="s">
        <v>40</v>
      </c>
      <c r="I9" s="117">
        <v>15</v>
      </c>
      <c r="J9" s="29">
        <v>1500</v>
      </c>
      <c r="K9" s="12">
        <f t="shared" si="1"/>
        <v>100</v>
      </c>
      <c r="L9" s="117">
        <v>15</v>
      </c>
      <c r="M9" s="13">
        <f t="shared" si="12"/>
        <v>1428.9570552147241</v>
      </c>
      <c r="N9" s="12">
        <f t="shared" si="3"/>
        <v>95.26380368098161</v>
      </c>
      <c r="O9" s="14">
        <f t="shared" si="4"/>
        <v>0</v>
      </c>
      <c r="P9" s="15">
        <f t="shared" si="5"/>
        <v>-4.73619631901839</v>
      </c>
      <c r="Q9" s="110">
        <f t="shared" si="6"/>
        <v>0.95263803680981607</v>
      </c>
      <c r="R9" s="616"/>
      <c r="S9" s="32">
        <v>0.27083333333333331</v>
      </c>
      <c r="T9" s="32">
        <v>0.38402777777777775</v>
      </c>
      <c r="U9" s="111">
        <f t="shared" ref="U9:U11" si="14">IF(S9=TIME(17,0,0),"",(S9-T8)*24*60)</f>
        <v>26.999999999999986</v>
      </c>
      <c r="V9" s="118">
        <f t="shared" si="13"/>
        <v>162.99999999999997</v>
      </c>
      <c r="W9" s="16"/>
      <c r="X9" s="16"/>
      <c r="Y9" s="16"/>
      <c r="Z9" s="16"/>
      <c r="AA9" s="612"/>
      <c r="AB9" s="612"/>
      <c r="AC9" s="136"/>
      <c r="AD9" s="18"/>
      <c r="AE9" s="14">
        <f t="shared" si="8"/>
        <v>-71.042944785275949</v>
      </c>
      <c r="AF9" s="110">
        <f t="shared" si="9"/>
        <v>0.95263803680981607</v>
      </c>
      <c r="AG9" s="616"/>
    </row>
    <row r="10" spans="1:33" ht="15.75" customHeight="1">
      <c r="A10" s="640" t="s">
        <v>276</v>
      </c>
      <c r="B10" s="27" t="s">
        <v>8</v>
      </c>
      <c r="C10" s="638" t="s">
        <v>10</v>
      </c>
      <c r="D10" s="639"/>
      <c r="E10" s="27">
        <v>39.799999999999997</v>
      </c>
      <c r="F10" s="119">
        <v>3800</v>
      </c>
      <c r="G10" s="111">
        <f t="shared" si="11"/>
        <v>151240</v>
      </c>
      <c r="H10" s="31">
        <v>2</v>
      </c>
      <c r="I10" s="117">
        <v>17</v>
      </c>
      <c r="J10" s="29">
        <v>1500</v>
      </c>
      <c r="K10" s="12">
        <f t="shared" si="1"/>
        <v>88.235294117647058</v>
      </c>
      <c r="L10" s="117">
        <v>17</v>
      </c>
      <c r="M10" s="13">
        <f t="shared" si="12"/>
        <v>1433.9622641509434</v>
      </c>
      <c r="N10" s="12">
        <f t="shared" si="3"/>
        <v>84.350721420643723</v>
      </c>
      <c r="O10" s="14">
        <f t="shared" si="4"/>
        <v>0</v>
      </c>
      <c r="P10" s="15">
        <f t="shared" si="5"/>
        <v>-3.8845726970033354</v>
      </c>
      <c r="Q10" s="110">
        <f t="shared" si="6"/>
        <v>0.9559748427672955</v>
      </c>
      <c r="R10" s="616"/>
      <c r="S10" s="32">
        <v>0.38888888888888884</v>
      </c>
      <c r="T10" s="32">
        <v>0.4993055555555555</v>
      </c>
      <c r="U10" s="111">
        <f t="shared" si="14"/>
        <v>6.9999999999999751</v>
      </c>
      <c r="V10" s="118">
        <f t="shared" si="13"/>
        <v>159</v>
      </c>
      <c r="W10" s="16">
        <f>T10</f>
        <v>0.4993055555555555</v>
      </c>
      <c r="X10" s="16">
        <f>S11</f>
        <v>0.53819444444444442</v>
      </c>
      <c r="Y10" s="16"/>
      <c r="Z10" s="16"/>
      <c r="AA10" s="612"/>
      <c r="AB10" s="612"/>
      <c r="AC10" s="136"/>
      <c r="AD10" s="18"/>
      <c r="AE10" s="14">
        <f t="shared" si="8"/>
        <v>-66.037735849056617</v>
      </c>
      <c r="AF10" s="110">
        <f t="shared" si="9"/>
        <v>0.95597484276729561</v>
      </c>
      <c r="AG10" s="616"/>
    </row>
    <row r="11" spans="1:33" ht="15.75" customHeight="1">
      <c r="A11" s="640" t="s">
        <v>277</v>
      </c>
      <c r="B11" s="27" t="s">
        <v>8</v>
      </c>
      <c r="C11" s="638" t="s">
        <v>10</v>
      </c>
      <c r="D11" s="639"/>
      <c r="E11" s="27">
        <v>39.799999999999997</v>
      </c>
      <c r="F11" s="119">
        <v>2267</v>
      </c>
      <c r="G11" s="111">
        <f t="shared" si="11"/>
        <v>90226.599999999991</v>
      </c>
      <c r="H11" s="31" t="s">
        <v>40</v>
      </c>
      <c r="I11" s="117">
        <v>17</v>
      </c>
      <c r="J11" s="29">
        <v>1500</v>
      </c>
      <c r="K11" s="12">
        <f t="shared" si="1"/>
        <v>88.235294117647058</v>
      </c>
      <c r="L11" s="117">
        <v>17</v>
      </c>
      <c r="M11" s="13">
        <f t="shared" si="12"/>
        <v>1431.7894736842106</v>
      </c>
      <c r="N11" s="12">
        <f t="shared" si="3"/>
        <v>84.222910216718276</v>
      </c>
      <c r="O11" s="14">
        <f t="shared" si="4"/>
        <v>0</v>
      </c>
      <c r="P11" s="15">
        <f t="shared" si="5"/>
        <v>-4.0123839009287821</v>
      </c>
      <c r="Q11" s="110">
        <f t="shared" si="6"/>
        <v>0.95452631578947378</v>
      </c>
      <c r="R11" s="616"/>
      <c r="S11" s="32">
        <v>0.53819444444444442</v>
      </c>
      <c r="T11" s="32">
        <v>0.60416666666666663</v>
      </c>
      <c r="U11" s="111">
        <f t="shared" si="14"/>
        <v>56.000000000000043</v>
      </c>
      <c r="V11" s="118">
        <f t="shared" si="13"/>
        <v>94.999999999999986</v>
      </c>
      <c r="W11" s="16"/>
      <c r="X11" s="16"/>
      <c r="Y11" s="16"/>
      <c r="Z11" s="16"/>
      <c r="AA11" s="607"/>
      <c r="AB11" s="608"/>
      <c r="AC11" s="136"/>
      <c r="AD11" s="18"/>
      <c r="AE11" s="14">
        <f t="shared" si="8"/>
        <v>-68.210526315789366</v>
      </c>
      <c r="AF11" s="110">
        <f t="shared" si="9"/>
        <v>0.95452631578947378</v>
      </c>
      <c r="AG11" s="616"/>
    </row>
    <row r="12" spans="1:33" ht="16.5" customHeight="1">
      <c r="A12" s="640" t="s">
        <v>277</v>
      </c>
      <c r="B12" s="27" t="s">
        <v>275</v>
      </c>
      <c r="C12" s="658"/>
      <c r="D12" s="658"/>
      <c r="E12" s="112"/>
      <c r="F12" s="29"/>
      <c r="G12" s="13"/>
      <c r="H12" s="119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1432.2017884264039</v>
      </c>
      <c r="N12" s="12">
        <f t="shared" si="3"/>
        <v>84.247164025082583</v>
      </c>
      <c r="O12" s="14">
        <f t="shared" si="4"/>
        <v>0</v>
      </c>
      <c r="P12" s="15">
        <f t="shared" si="5"/>
        <v>-3.9881300925644751</v>
      </c>
      <c r="Q12" s="110">
        <f t="shared" si="6"/>
        <v>0.9548011922842693</v>
      </c>
      <c r="R12" s="616"/>
      <c r="S12" s="32"/>
      <c r="T12" s="32"/>
      <c r="U12" s="12"/>
      <c r="V12" s="118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-67.798211573596063</v>
      </c>
      <c r="AF12" s="110">
        <f t="shared" si="9"/>
        <v>0.9548011922842693</v>
      </c>
      <c r="AG12" s="616"/>
    </row>
    <row r="13" spans="1:33" ht="16.5" customHeight="1">
      <c r="A13" s="636" t="s">
        <v>278</v>
      </c>
      <c r="B13" s="119" t="s">
        <v>11</v>
      </c>
      <c r="C13" s="659" t="s">
        <v>67</v>
      </c>
      <c r="D13" s="659"/>
      <c r="E13" s="27">
        <v>38.619999999999997</v>
      </c>
      <c r="F13" s="119">
        <v>2210</v>
      </c>
      <c r="G13" s="111">
        <f t="shared" ref="G13:G19" si="15">E13*F13</f>
        <v>85350.2</v>
      </c>
      <c r="H13" s="31" t="s">
        <v>40</v>
      </c>
      <c r="I13" s="117">
        <v>24</v>
      </c>
      <c r="J13" s="29">
        <v>1500</v>
      </c>
      <c r="K13" s="12">
        <f t="shared" si="1"/>
        <v>62.5</v>
      </c>
      <c r="L13" s="117">
        <v>24</v>
      </c>
      <c r="M13" s="13">
        <f t="shared" ref="M13:M19" si="16">F13/V13*60</f>
        <v>1441.3043478260868</v>
      </c>
      <c r="N13" s="12">
        <f t="shared" si="3"/>
        <v>60.054347826086946</v>
      </c>
      <c r="O13" s="14">
        <f t="shared" si="4"/>
        <v>0</v>
      </c>
      <c r="P13" s="15">
        <f t="shared" si="5"/>
        <v>-2.4456521739130537</v>
      </c>
      <c r="Q13" s="110">
        <f t="shared" si="6"/>
        <v>0.96086956521739109</v>
      </c>
      <c r="R13" s="616">
        <f>Q20</f>
        <v>0.95225500460472123</v>
      </c>
      <c r="S13" s="32">
        <v>8.3333333333333329E-2</v>
      </c>
      <c r="T13" s="32">
        <v>0.14722222222222223</v>
      </c>
      <c r="U13" s="111"/>
      <c r="V13" s="118">
        <f t="shared" ref="V13:V19" si="17">(T13-S13)*24*60</f>
        <v>92.000000000000014</v>
      </c>
      <c r="W13" s="16">
        <f>T13</f>
        <v>0.14722222222222223</v>
      </c>
      <c r="X13" s="16">
        <f>S14</f>
        <v>0.16666666666666669</v>
      </c>
      <c r="Y13" s="20"/>
      <c r="Z13" s="20"/>
      <c r="AA13" s="612"/>
      <c r="AB13" s="612"/>
      <c r="AC13" s="136">
        <v>7</v>
      </c>
      <c r="AD13" s="18"/>
      <c r="AE13" s="14">
        <f t="shared" si="8"/>
        <v>-58.695652173913231</v>
      </c>
      <c r="AF13" s="110">
        <f t="shared" si="9"/>
        <v>0.9608695652173912</v>
      </c>
      <c r="AG13" s="616">
        <f>AF20</f>
        <v>0.95225500460472123</v>
      </c>
    </row>
    <row r="14" spans="1:33" ht="16.5" customHeight="1">
      <c r="A14" s="637" t="s">
        <v>278</v>
      </c>
      <c r="B14" s="119" t="s">
        <v>11</v>
      </c>
      <c r="C14" s="659" t="s">
        <v>12</v>
      </c>
      <c r="D14" s="659"/>
      <c r="E14" s="27">
        <v>41</v>
      </c>
      <c r="F14" s="119">
        <v>1859</v>
      </c>
      <c r="G14" s="111">
        <f t="shared" si="15"/>
        <v>76219</v>
      </c>
      <c r="H14" s="31" t="s">
        <v>40</v>
      </c>
      <c r="I14" s="117">
        <v>26</v>
      </c>
      <c r="J14" s="29">
        <v>1500</v>
      </c>
      <c r="K14" s="12">
        <f t="shared" si="1"/>
        <v>57.692307692307693</v>
      </c>
      <c r="L14" s="117">
        <v>26</v>
      </c>
      <c r="M14" s="13">
        <f t="shared" si="16"/>
        <v>1430</v>
      </c>
      <c r="N14" s="12">
        <f t="shared" si="3"/>
        <v>55</v>
      </c>
      <c r="O14" s="14">
        <f t="shared" si="4"/>
        <v>0</v>
      </c>
      <c r="P14" s="15">
        <f t="shared" si="5"/>
        <v>-2.6923076923076934</v>
      </c>
      <c r="Q14" s="110">
        <f t="shared" si="6"/>
        <v>0.95333333333333337</v>
      </c>
      <c r="R14" s="616"/>
      <c r="S14" s="32">
        <v>0.16666666666666669</v>
      </c>
      <c r="T14" s="32">
        <v>0.22083333333333335</v>
      </c>
      <c r="U14" s="111">
        <f t="shared" ref="U14:U19" si="18">IF(S14=TIME(17,0,0),"",(S14-T13)*24*60)</f>
        <v>28.000000000000021</v>
      </c>
      <c r="V14" s="118">
        <f t="shared" si="17"/>
        <v>78</v>
      </c>
      <c r="W14" s="16"/>
      <c r="X14" s="16"/>
      <c r="Y14" s="16"/>
      <c r="Z14" s="16"/>
      <c r="AA14" s="612"/>
      <c r="AB14" s="612"/>
      <c r="AC14" s="136"/>
      <c r="AD14" s="18"/>
      <c r="AE14" s="14">
        <f t="shared" si="8"/>
        <v>-70</v>
      </c>
      <c r="AF14" s="110">
        <f t="shared" si="9"/>
        <v>0.95333333333333337</v>
      </c>
      <c r="AG14" s="616"/>
    </row>
    <row r="15" spans="1:33" ht="16.5" customHeight="1">
      <c r="A15" s="637" t="s">
        <v>278</v>
      </c>
      <c r="B15" s="119" t="s">
        <v>5</v>
      </c>
      <c r="C15" s="659" t="s">
        <v>66</v>
      </c>
      <c r="D15" s="659"/>
      <c r="E15" s="27">
        <v>37.03</v>
      </c>
      <c r="F15" s="119">
        <v>3434</v>
      </c>
      <c r="G15" s="111">
        <f t="shared" si="15"/>
        <v>127161.02</v>
      </c>
      <c r="H15" s="31" t="s">
        <v>40</v>
      </c>
      <c r="I15" s="117">
        <v>13</v>
      </c>
      <c r="J15" s="29">
        <v>1500</v>
      </c>
      <c r="K15" s="12">
        <f t="shared" si="1"/>
        <v>115.38461538461539</v>
      </c>
      <c r="L15" s="117">
        <v>13</v>
      </c>
      <c r="M15" s="13">
        <f t="shared" si="16"/>
        <v>1430.8333333333337</v>
      </c>
      <c r="N15" s="12">
        <f t="shared" si="3"/>
        <v>110.0641025641026</v>
      </c>
      <c r="O15" s="14">
        <f t="shared" si="4"/>
        <v>0</v>
      </c>
      <c r="P15" s="15">
        <f t="shared" si="5"/>
        <v>-5.3205128205127892</v>
      </c>
      <c r="Q15" s="110">
        <f t="shared" si="6"/>
        <v>0.95388888888888912</v>
      </c>
      <c r="R15" s="616"/>
      <c r="S15" s="32">
        <v>0.22569444444444448</v>
      </c>
      <c r="T15" s="32">
        <v>0.32569444444444445</v>
      </c>
      <c r="U15" s="111">
        <f t="shared" si="18"/>
        <v>7.0000000000000151</v>
      </c>
      <c r="V15" s="118">
        <f t="shared" si="17"/>
        <v>143.99999999999997</v>
      </c>
      <c r="W15" s="16"/>
      <c r="X15" s="16"/>
      <c r="Y15" s="16"/>
      <c r="Z15" s="16"/>
      <c r="AA15" s="612"/>
      <c r="AB15" s="612"/>
      <c r="AC15" s="136"/>
      <c r="AD15" s="18"/>
      <c r="AE15" s="14">
        <f t="shared" si="8"/>
        <v>-69.166666666666288</v>
      </c>
      <c r="AF15" s="110">
        <f t="shared" si="9"/>
        <v>0.95388888888888912</v>
      </c>
      <c r="AG15" s="616"/>
    </row>
    <row r="16" spans="1:33" ht="16.5" customHeight="1">
      <c r="A16" s="637" t="s">
        <v>278</v>
      </c>
      <c r="B16" s="119" t="s">
        <v>8</v>
      </c>
      <c r="C16" s="659" t="s">
        <v>74</v>
      </c>
      <c r="D16" s="659"/>
      <c r="E16" s="27">
        <v>39.520000000000003</v>
      </c>
      <c r="F16" s="119">
        <v>3108</v>
      </c>
      <c r="G16" s="111">
        <f t="shared" si="15"/>
        <v>122828.16</v>
      </c>
      <c r="H16" s="31" t="s">
        <v>40</v>
      </c>
      <c r="I16" s="117">
        <v>19</v>
      </c>
      <c r="J16" s="29">
        <v>1500</v>
      </c>
      <c r="K16" s="12">
        <f t="shared" si="1"/>
        <v>78.94736842105263</v>
      </c>
      <c r="L16" s="117">
        <v>19</v>
      </c>
      <c r="M16" s="13">
        <f t="shared" si="16"/>
        <v>1434.4615384615381</v>
      </c>
      <c r="N16" s="12">
        <f t="shared" si="3"/>
        <v>75.497975708502011</v>
      </c>
      <c r="O16" s="14">
        <f t="shared" si="4"/>
        <v>0</v>
      </c>
      <c r="P16" s="15">
        <f t="shared" si="5"/>
        <v>-3.449392712550619</v>
      </c>
      <c r="Q16" s="110">
        <f t="shared" si="6"/>
        <v>0.95630769230769219</v>
      </c>
      <c r="R16" s="616"/>
      <c r="S16" s="32">
        <v>0.33055555555555555</v>
      </c>
      <c r="T16" s="32">
        <v>0.42083333333333334</v>
      </c>
      <c r="U16" s="111">
        <f t="shared" si="18"/>
        <v>6.9999999999999751</v>
      </c>
      <c r="V16" s="118">
        <f t="shared" si="17"/>
        <v>130.00000000000003</v>
      </c>
      <c r="W16" s="16"/>
      <c r="X16" s="16"/>
      <c r="Y16" s="16"/>
      <c r="Z16" s="16"/>
      <c r="AA16" s="612"/>
      <c r="AB16" s="612"/>
      <c r="AC16" s="136"/>
      <c r="AD16" s="18"/>
      <c r="AE16" s="14">
        <f t="shared" si="8"/>
        <v>-65.538461538461888</v>
      </c>
      <c r="AF16" s="110">
        <f t="shared" si="9"/>
        <v>0.95630769230769208</v>
      </c>
      <c r="AG16" s="616"/>
    </row>
    <row r="17" spans="1:33" ht="16.5" customHeight="1">
      <c r="A17" s="637" t="s">
        <v>278</v>
      </c>
      <c r="B17" s="119" t="s">
        <v>5</v>
      </c>
      <c r="C17" s="659" t="s">
        <v>13</v>
      </c>
      <c r="D17" s="659"/>
      <c r="E17" s="27">
        <v>53.68</v>
      </c>
      <c r="F17" s="119">
        <v>226</v>
      </c>
      <c r="G17" s="111">
        <f t="shared" si="15"/>
        <v>12131.68</v>
      </c>
      <c r="H17" s="31" t="s">
        <v>40</v>
      </c>
      <c r="I17" s="117">
        <v>16</v>
      </c>
      <c r="J17" s="29">
        <v>1500</v>
      </c>
      <c r="K17" s="12">
        <f t="shared" si="1"/>
        <v>93.75</v>
      </c>
      <c r="L17" s="117">
        <v>16</v>
      </c>
      <c r="M17" s="13">
        <f t="shared" si="16"/>
        <v>1356.0000000000048</v>
      </c>
      <c r="N17" s="12">
        <f t="shared" si="3"/>
        <v>84.750000000000298</v>
      </c>
      <c r="O17" s="14">
        <f t="shared" si="4"/>
        <v>0</v>
      </c>
      <c r="P17" s="15">
        <f t="shared" si="5"/>
        <v>-8.9999999999997016</v>
      </c>
      <c r="Q17" s="110">
        <f t="shared" si="6"/>
        <v>0.90400000000000313</v>
      </c>
      <c r="R17" s="616"/>
      <c r="S17" s="32">
        <v>0.70833333333333337</v>
      </c>
      <c r="T17" s="32">
        <v>0.71527777777777779</v>
      </c>
      <c r="U17" s="111" t="str">
        <f t="shared" si="18"/>
        <v/>
      </c>
      <c r="V17" s="118">
        <f t="shared" si="17"/>
        <v>9.9999999999999645</v>
      </c>
      <c r="W17" s="16"/>
      <c r="X17" s="16"/>
      <c r="Y17" s="16"/>
      <c r="Z17" s="16"/>
      <c r="AA17" s="612"/>
      <c r="AB17" s="612"/>
      <c r="AC17" s="136"/>
      <c r="AD17" s="18"/>
      <c r="AE17" s="14">
        <f t="shared" si="8"/>
        <v>-143.99999999999523</v>
      </c>
      <c r="AF17" s="110">
        <f t="shared" si="9"/>
        <v>0.90400000000000313</v>
      </c>
      <c r="AG17" s="616"/>
    </row>
    <row r="18" spans="1:33" ht="16.5" customHeight="1">
      <c r="A18" s="637" t="s">
        <v>279</v>
      </c>
      <c r="B18" s="119" t="s">
        <v>5</v>
      </c>
      <c r="C18" s="106" t="s">
        <v>6</v>
      </c>
      <c r="D18" s="107"/>
      <c r="E18" s="27">
        <v>50.67</v>
      </c>
      <c r="F18" s="119">
        <v>1164</v>
      </c>
      <c r="G18" s="111">
        <f t="shared" si="15"/>
        <v>58979.880000000005</v>
      </c>
      <c r="H18" s="31" t="s">
        <v>40</v>
      </c>
      <c r="I18" s="117">
        <v>17</v>
      </c>
      <c r="J18" s="29">
        <v>2000</v>
      </c>
      <c r="K18" s="12">
        <f t="shared" si="1"/>
        <v>117.64705882352941</v>
      </c>
      <c r="L18" s="117">
        <v>17</v>
      </c>
      <c r="M18" s="13">
        <f t="shared" si="16"/>
        <v>1939.9999999999984</v>
      </c>
      <c r="N18" s="12">
        <f t="shared" si="3"/>
        <v>114.11764705882344</v>
      </c>
      <c r="O18" s="14">
        <f t="shared" si="4"/>
        <v>0</v>
      </c>
      <c r="P18" s="15">
        <f t="shared" si="5"/>
        <v>-3.5294117647059693</v>
      </c>
      <c r="Q18" s="110">
        <f t="shared" si="6"/>
        <v>0.96999999999999931</v>
      </c>
      <c r="R18" s="616"/>
      <c r="S18" s="32">
        <v>0.71944444444444444</v>
      </c>
      <c r="T18" s="32">
        <v>0.74444444444444446</v>
      </c>
      <c r="U18" s="111">
        <f t="shared" si="18"/>
        <v>5.9999999999999787</v>
      </c>
      <c r="V18" s="118">
        <f t="shared" si="17"/>
        <v>36.000000000000028</v>
      </c>
      <c r="W18" s="16"/>
      <c r="X18" s="16"/>
      <c r="Y18" s="19"/>
      <c r="Z18" s="19"/>
      <c r="AA18" s="115"/>
      <c r="AB18" s="116"/>
      <c r="AC18" s="136"/>
      <c r="AD18" s="18"/>
      <c r="AE18" s="14">
        <f t="shared" si="8"/>
        <v>-60.000000000001592</v>
      </c>
      <c r="AF18" s="110">
        <f t="shared" si="9"/>
        <v>0.9699999999999992</v>
      </c>
      <c r="AG18" s="616"/>
    </row>
    <row r="19" spans="1:33" ht="16.5" customHeight="1">
      <c r="A19" s="637" t="s">
        <v>278</v>
      </c>
      <c r="B19" s="119" t="s">
        <v>5</v>
      </c>
      <c r="C19" s="106" t="s">
        <v>7</v>
      </c>
      <c r="D19" s="107"/>
      <c r="E19" s="27">
        <v>50.67</v>
      </c>
      <c r="F19" s="119">
        <v>1151</v>
      </c>
      <c r="G19" s="111">
        <f t="shared" si="15"/>
        <v>58321.170000000006</v>
      </c>
      <c r="H19" s="31" t="s">
        <v>40</v>
      </c>
      <c r="I19" s="117">
        <v>15</v>
      </c>
      <c r="J19" s="29">
        <v>2000</v>
      </c>
      <c r="K19" s="12">
        <f t="shared" si="1"/>
        <v>133.33333333333334</v>
      </c>
      <c r="L19" s="117">
        <v>15</v>
      </c>
      <c r="M19" s="13">
        <f t="shared" si="16"/>
        <v>1918.3333333333319</v>
      </c>
      <c r="N19" s="12">
        <f t="shared" si="3"/>
        <v>127.88888888888879</v>
      </c>
      <c r="O19" s="14">
        <f t="shared" si="4"/>
        <v>0</v>
      </c>
      <c r="P19" s="15">
        <f t="shared" si="5"/>
        <v>-5.4444444444445566</v>
      </c>
      <c r="Q19" s="110">
        <f t="shared" si="6"/>
        <v>0.95916666666666583</v>
      </c>
      <c r="R19" s="616"/>
      <c r="S19" s="32">
        <v>0.75</v>
      </c>
      <c r="T19" s="32">
        <v>0.77500000000000002</v>
      </c>
      <c r="U19" s="111">
        <f t="shared" si="18"/>
        <v>7.9999999999999716</v>
      </c>
      <c r="V19" s="118">
        <f t="shared" si="17"/>
        <v>36.000000000000028</v>
      </c>
      <c r="W19" s="16"/>
      <c r="X19" s="16"/>
      <c r="Y19" s="19"/>
      <c r="Z19" s="19"/>
      <c r="AA19" s="115"/>
      <c r="AB19" s="116"/>
      <c r="AC19" s="136"/>
      <c r="AD19" s="18"/>
      <c r="AE19" s="14">
        <f t="shared" si="8"/>
        <v>-81.666666666668107</v>
      </c>
      <c r="AF19" s="110">
        <f t="shared" si="9"/>
        <v>0.95916666666666595</v>
      </c>
      <c r="AG19" s="616"/>
    </row>
    <row r="20" spans="1:33" ht="16.5" customHeight="1">
      <c r="A20" s="637" t="s">
        <v>278</v>
      </c>
      <c r="B20" s="27" t="s">
        <v>275</v>
      </c>
      <c r="C20" s="658"/>
      <c r="D20" s="658"/>
      <c r="E20" s="112"/>
      <c r="F20" s="28"/>
      <c r="G20" s="12"/>
      <c r="H20" s="119"/>
      <c r="I20" s="21">
        <v>18.571428571428573</v>
      </c>
      <c r="J20" s="29">
        <v>1642.8571428571429</v>
      </c>
      <c r="K20" s="12">
        <f t="shared" si="1"/>
        <v>88.461538461538453</v>
      </c>
      <c r="L20" s="21">
        <v>18.571428571428573</v>
      </c>
      <c r="M20" s="13">
        <f>AVERAGE(M13:M19)</f>
        <v>1564.4189361363278</v>
      </c>
      <c r="N20" s="12">
        <f t="shared" si="3"/>
        <v>84.237942715033029</v>
      </c>
      <c r="O20" s="14">
        <f t="shared" si="4"/>
        <v>0</v>
      </c>
      <c r="P20" s="15">
        <f t="shared" si="5"/>
        <v>-4.2235957465054241</v>
      </c>
      <c r="Q20" s="110">
        <f t="shared" si="6"/>
        <v>0.95225500460472123</v>
      </c>
      <c r="R20" s="616"/>
      <c r="S20" s="32"/>
      <c r="T20" s="32"/>
      <c r="U20" s="111"/>
      <c r="V20" s="118"/>
      <c r="W20" s="12"/>
      <c r="X20" s="12"/>
      <c r="Y20" s="22">
        <f>SUM(Y13:Y19)</f>
        <v>0</v>
      </c>
      <c r="Z20" s="22">
        <f>SUM(Z13:Z19)</f>
        <v>0</v>
      </c>
      <c r="AA20" s="611"/>
      <c r="AB20" s="611"/>
      <c r="AC20" s="22">
        <v>7</v>
      </c>
      <c r="AD20" s="22">
        <f>SUM(AD13:AD19)</f>
        <v>0</v>
      </c>
      <c r="AE20" s="14">
        <f t="shared" si="8"/>
        <v>-78.43820672081506</v>
      </c>
      <c r="AF20" s="110">
        <f t="shared" si="9"/>
        <v>0.95225500460472123</v>
      </c>
      <c r="AG20" s="616"/>
    </row>
    <row r="21" spans="1:33" ht="15.75" customHeight="1">
      <c r="A21" s="634" t="s">
        <v>280</v>
      </c>
      <c r="B21" s="27" t="s">
        <v>5</v>
      </c>
      <c r="C21" s="659" t="s">
        <v>16</v>
      </c>
      <c r="D21" s="659"/>
      <c r="E21" s="27">
        <v>50.67</v>
      </c>
      <c r="F21" s="119">
        <v>1788</v>
      </c>
      <c r="G21" s="111">
        <f t="shared" ref="G21:G26" si="19">E21*F21</f>
        <v>90597.96</v>
      </c>
      <c r="H21" s="31" t="s">
        <v>40</v>
      </c>
      <c r="I21" s="117">
        <v>17</v>
      </c>
      <c r="J21" s="29">
        <v>2000</v>
      </c>
      <c r="K21" s="12">
        <f t="shared" si="1"/>
        <v>117.64705882352941</v>
      </c>
      <c r="L21" s="117">
        <v>17</v>
      </c>
      <c r="M21" s="13">
        <f t="shared" ref="M21:M26" si="20">F21/V21*60</f>
        <v>1915.7142857142856</v>
      </c>
      <c r="N21" s="12">
        <f t="shared" si="3"/>
        <v>112.68907563025209</v>
      </c>
      <c r="O21" s="14">
        <f t="shared" si="4"/>
        <v>0</v>
      </c>
      <c r="P21" s="15">
        <f t="shared" si="5"/>
        <v>-4.9579831932773146</v>
      </c>
      <c r="Q21" s="110">
        <f t="shared" si="6"/>
        <v>0.95785714285714285</v>
      </c>
      <c r="R21" s="616">
        <f>Q27</f>
        <v>0.95609536265291406</v>
      </c>
      <c r="S21" s="32">
        <v>0.20833333333333334</v>
      </c>
      <c r="T21" s="32">
        <v>0.24722222222222223</v>
      </c>
      <c r="U21" s="111"/>
      <c r="V21" s="118">
        <f t="shared" ref="V21:V26" si="21">(T21-S21)*24*60</f>
        <v>56</v>
      </c>
      <c r="W21" s="20"/>
      <c r="X21" s="20"/>
      <c r="Y21" s="20"/>
      <c r="Z21" s="20"/>
      <c r="AA21" s="612"/>
      <c r="AB21" s="612"/>
      <c r="AC21" s="136">
        <v>6</v>
      </c>
      <c r="AD21" s="18"/>
      <c r="AE21" s="14">
        <f t="shared" si="8"/>
        <v>-84.285714285714448</v>
      </c>
      <c r="AF21" s="110">
        <f t="shared" si="9"/>
        <v>0.95785714285714274</v>
      </c>
      <c r="AG21" s="616">
        <f>AF27</f>
        <v>0.95609536265291406</v>
      </c>
    </row>
    <row r="22" spans="1:33" ht="15.75" customHeight="1">
      <c r="A22" s="635" t="s">
        <v>280</v>
      </c>
      <c r="B22" s="27" t="s">
        <v>5</v>
      </c>
      <c r="C22" s="659" t="s">
        <v>17</v>
      </c>
      <c r="D22" s="659"/>
      <c r="E22" s="27">
        <v>57.73</v>
      </c>
      <c r="F22" s="119">
        <v>2064</v>
      </c>
      <c r="G22" s="111">
        <f t="shared" si="19"/>
        <v>119154.71999999999</v>
      </c>
      <c r="H22" s="31" t="s">
        <v>40</v>
      </c>
      <c r="I22" s="117">
        <v>14</v>
      </c>
      <c r="J22" s="29">
        <v>2000</v>
      </c>
      <c r="K22" s="12">
        <f t="shared" si="1"/>
        <v>142.85714285714286</v>
      </c>
      <c r="L22" s="117">
        <v>14</v>
      </c>
      <c r="M22" s="13">
        <f t="shared" si="20"/>
        <v>1905.2307692307688</v>
      </c>
      <c r="N22" s="12">
        <f t="shared" si="3"/>
        <v>136.08791208791206</v>
      </c>
      <c r="O22" s="14">
        <f t="shared" si="4"/>
        <v>0</v>
      </c>
      <c r="P22" s="15">
        <f t="shared" si="5"/>
        <v>-6.769230769230802</v>
      </c>
      <c r="Q22" s="110">
        <f t="shared" si="6"/>
        <v>0.95261538461538442</v>
      </c>
      <c r="R22" s="616"/>
      <c r="S22" s="32">
        <v>0.25138888888888888</v>
      </c>
      <c r="T22" s="32">
        <v>0.29652777777777778</v>
      </c>
      <c r="U22" s="111">
        <f t="shared" ref="U22:U26" si="22">IF(S22=TIME(17,0,0),"",(S22-T21)*24*60)</f>
        <v>5.9999999999999787</v>
      </c>
      <c r="V22" s="118">
        <f t="shared" si="21"/>
        <v>65.000000000000014</v>
      </c>
      <c r="W22" s="16"/>
      <c r="X22" s="111"/>
      <c r="Y22" s="111"/>
      <c r="Z22" s="111"/>
      <c r="AA22" s="612"/>
      <c r="AB22" s="612"/>
      <c r="AC22" s="136"/>
      <c r="AD22" s="18"/>
      <c r="AE22" s="14">
        <f t="shared" si="8"/>
        <v>-94.769230769231172</v>
      </c>
      <c r="AF22" s="110">
        <f t="shared" si="9"/>
        <v>0.95261538461538442</v>
      </c>
      <c r="AG22" s="616"/>
    </row>
    <row r="23" spans="1:33" ht="15.75" customHeight="1">
      <c r="A23" s="635" t="s">
        <v>280</v>
      </c>
      <c r="B23" s="27" t="s">
        <v>5</v>
      </c>
      <c r="C23" s="659" t="s">
        <v>60</v>
      </c>
      <c r="D23" s="659"/>
      <c r="E23" s="27">
        <v>53.27</v>
      </c>
      <c r="F23" s="119">
        <v>1557</v>
      </c>
      <c r="G23" s="111">
        <f t="shared" si="19"/>
        <v>82941.39</v>
      </c>
      <c r="H23" s="31" t="s">
        <v>40</v>
      </c>
      <c r="I23" s="117">
        <v>16</v>
      </c>
      <c r="J23" s="29">
        <v>2000</v>
      </c>
      <c r="K23" s="12">
        <f t="shared" si="1"/>
        <v>125</v>
      </c>
      <c r="L23" s="117">
        <v>16</v>
      </c>
      <c r="M23" s="13">
        <f t="shared" si="20"/>
        <v>1906.5306122448985</v>
      </c>
      <c r="N23" s="12">
        <f t="shared" si="3"/>
        <v>119.15816326530616</v>
      </c>
      <c r="O23" s="14">
        <f t="shared" si="4"/>
        <v>0</v>
      </c>
      <c r="P23" s="15">
        <f t="shared" si="5"/>
        <v>-5.8418367346938425</v>
      </c>
      <c r="Q23" s="110">
        <f t="shared" si="6"/>
        <v>0.95326530612244931</v>
      </c>
      <c r="R23" s="616"/>
      <c r="S23" s="32">
        <v>0.30069444444444443</v>
      </c>
      <c r="T23" s="32">
        <v>0.3347222222222222</v>
      </c>
      <c r="U23" s="111">
        <f t="shared" si="22"/>
        <v>5.9999999999999787</v>
      </c>
      <c r="V23" s="118">
        <f t="shared" si="21"/>
        <v>48.999999999999986</v>
      </c>
      <c r="W23" s="16"/>
      <c r="X23" s="111"/>
      <c r="Y23" s="111"/>
      <c r="Z23" s="111"/>
      <c r="AA23" s="612"/>
      <c r="AB23" s="612"/>
      <c r="AC23" s="136"/>
      <c r="AD23" s="18"/>
      <c r="AE23" s="14">
        <f t="shared" si="8"/>
        <v>-93.469387755101479</v>
      </c>
      <c r="AF23" s="110">
        <f t="shared" si="9"/>
        <v>0.95326530612244931</v>
      </c>
      <c r="AG23" s="616"/>
    </row>
    <row r="24" spans="1:33" ht="15.75" customHeight="1">
      <c r="A24" s="635" t="s">
        <v>280</v>
      </c>
      <c r="B24" s="27" t="s">
        <v>5</v>
      </c>
      <c r="C24" s="659" t="s">
        <v>81</v>
      </c>
      <c r="D24" s="659"/>
      <c r="E24" s="27">
        <v>51.44</v>
      </c>
      <c r="F24" s="119">
        <v>2202</v>
      </c>
      <c r="G24" s="111">
        <f t="shared" si="19"/>
        <v>113270.87999999999</v>
      </c>
      <c r="H24" s="31" t="s">
        <v>40</v>
      </c>
      <c r="I24" s="117">
        <v>25</v>
      </c>
      <c r="J24" s="29">
        <v>2000</v>
      </c>
      <c r="K24" s="12">
        <f t="shared" si="1"/>
        <v>80</v>
      </c>
      <c r="L24" s="117">
        <v>25</v>
      </c>
      <c r="M24" s="13">
        <f t="shared" si="20"/>
        <v>1914.7826086956522</v>
      </c>
      <c r="N24" s="12">
        <f t="shared" si="3"/>
        <v>76.591304347826096</v>
      </c>
      <c r="O24" s="14">
        <f t="shared" si="4"/>
        <v>0</v>
      </c>
      <c r="P24" s="15">
        <f t="shared" si="5"/>
        <v>-3.408695652173904</v>
      </c>
      <c r="Q24" s="110">
        <f t="shared" si="6"/>
        <v>0.95739130434782616</v>
      </c>
      <c r="R24" s="616"/>
      <c r="S24" s="32">
        <v>0.33888888888888885</v>
      </c>
      <c r="T24" s="32">
        <v>0.38680555555555551</v>
      </c>
      <c r="U24" s="111">
        <f t="shared" si="22"/>
        <v>5.9999999999999787</v>
      </c>
      <c r="V24" s="118">
        <f t="shared" si="21"/>
        <v>69</v>
      </c>
      <c r="W24" s="16"/>
      <c r="X24" s="111"/>
      <c r="Y24" s="111"/>
      <c r="Z24" s="111"/>
      <c r="AA24" s="612"/>
      <c r="AB24" s="612"/>
      <c r="AC24" s="136"/>
      <c r="AD24" s="18"/>
      <c r="AE24" s="14">
        <f t="shared" si="8"/>
        <v>-85.217391304347757</v>
      </c>
      <c r="AF24" s="110">
        <f t="shared" si="9"/>
        <v>0.95739130434782616</v>
      </c>
      <c r="AG24" s="616"/>
    </row>
    <row r="25" spans="1:33" ht="15.75" customHeight="1">
      <c r="A25" s="635" t="s">
        <v>280</v>
      </c>
      <c r="B25" s="27" t="s">
        <v>5</v>
      </c>
      <c r="C25" s="659" t="s">
        <v>18</v>
      </c>
      <c r="D25" s="659"/>
      <c r="E25" s="27">
        <v>50.49</v>
      </c>
      <c r="F25" s="119">
        <v>1408</v>
      </c>
      <c r="G25" s="111">
        <f t="shared" si="19"/>
        <v>71089.919999999998</v>
      </c>
      <c r="H25" s="31" t="s">
        <v>40</v>
      </c>
      <c r="I25" s="117">
        <v>15</v>
      </c>
      <c r="J25" s="29">
        <v>2000</v>
      </c>
      <c r="K25" s="12">
        <f t="shared" si="1"/>
        <v>133.33333333333334</v>
      </c>
      <c r="L25" s="117">
        <v>15</v>
      </c>
      <c r="M25" s="13">
        <f t="shared" si="20"/>
        <v>1920</v>
      </c>
      <c r="N25" s="12">
        <f t="shared" si="3"/>
        <v>128</v>
      </c>
      <c r="O25" s="14">
        <f t="shared" si="4"/>
        <v>0</v>
      </c>
      <c r="P25" s="15">
        <f t="shared" si="5"/>
        <v>-5.3333333333333428</v>
      </c>
      <c r="Q25" s="110">
        <f t="shared" si="6"/>
        <v>0.96</v>
      </c>
      <c r="R25" s="616"/>
      <c r="S25" s="32">
        <v>0.70833333333333337</v>
      </c>
      <c r="T25" s="32">
        <v>0.73888888888888893</v>
      </c>
      <c r="U25" s="111" t="str">
        <f t="shared" si="22"/>
        <v/>
      </c>
      <c r="V25" s="118">
        <f t="shared" si="21"/>
        <v>44</v>
      </c>
      <c r="W25" s="16"/>
      <c r="X25" s="16"/>
      <c r="Y25" s="111"/>
      <c r="Z25" s="111"/>
      <c r="AA25" s="612"/>
      <c r="AB25" s="612"/>
      <c r="AC25" s="136"/>
      <c r="AD25" s="18"/>
      <c r="AE25" s="14">
        <f t="shared" si="8"/>
        <v>-80</v>
      </c>
      <c r="AF25" s="110">
        <f t="shared" si="9"/>
        <v>0.96</v>
      </c>
      <c r="AG25" s="616"/>
    </row>
    <row r="26" spans="1:33" ht="15.75" customHeight="1">
      <c r="A26" s="635" t="s">
        <v>280</v>
      </c>
      <c r="B26" s="27" t="s">
        <v>5</v>
      </c>
      <c r="C26" s="659" t="s">
        <v>62</v>
      </c>
      <c r="D26" s="659"/>
      <c r="E26" s="27">
        <v>51.06</v>
      </c>
      <c r="F26" s="119">
        <v>2516</v>
      </c>
      <c r="G26" s="111">
        <f t="shared" si="19"/>
        <v>128466.96</v>
      </c>
      <c r="H26" s="31" t="s">
        <v>40</v>
      </c>
      <c r="I26" s="117">
        <v>13</v>
      </c>
      <c r="J26" s="29">
        <v>2000</v>
      </c>
      <c r="K26" s="12">
        <f t="shared" si="1"/>
        <v>153.84615384615384</v>
      </c>
      <c r="L26" s="117">
        <v>13</v>
      </c>
      <c r="M26" s="13">
        <f t="shared" si="20"/>
        <v>1910.8860759493659</v>
      </c>
      <c r="N26" s="12">
        <f t="shared" si="3"/>
        <v>146.99123661148968</v>
      </c>
      <c r="O26" s="14">
        <f t="shared" si="4"/>
        <v>0</v>
      </c>
      <c r="P26" s="15">
        <f t="shared" si="5"/>
        <v>-6.8549172346641569</v>
      </c>
      <c r="Q26" s="110">
        <f t="shared" si="6"/>
        <v>0.955443037974683</v>
      </c>
      <c r="R26" s="616"/>
      <c r="S26" s="32">
        <v>0.74236111111111114</v>
      </c>
      <c r="T26" s="32">
        <v>0.79722222222222228</v>
      </c>
      <c r="U26" s="111">
        <f t="shared" si="22"/>
        <v>4.9999999999999822</v>
      </c>
      <c r="V26" s="118">
        <f t="shared" si="21"/>
        <v>79.000000000000043</v>
      </c>
      <c r="W26" s="16"/>
      <c r="X26" s="20"/>
      <c r="Y26" s="20"/>
      <c r="Z26" s="20"/>
      <c r="AA26" s="612"/>
      <c r="AB26" s="612"/>
      <c r="AC26" s="136"/>
      <c r="AD26" s="18"/>
      <c r="AE26" s="14">
        <f t="shared" si="8"/>
        <v>-89.113924050634068</v>
      </c>
      <c r="AF26" s="110">
        <f t="shared" si="9"/>
        <v>0.955443037974683</v>
      </c>
      <c r="AG26" s="616"/>
    </row>
    <row r="27" spans="1:33" ht="15.75" customHeight="1">
      <c r="A27" s="635" t="s">
        <v>280</v>
      </c>
      <c r="B27" s="27" t="s">
        <v>275</v>
      </c>
      <c r="C27" s="658"/>
      <c r="D27" s="658"/>
      <c r="E27" s="112"/>
      <c r="F27" s="119"/>
      <c r="G27" s="111"/>
      <c r="H27" s="119"/>
      <c r="I27" s="21">
        <v>16.666666666666668</v>
      </c>
      <c r="J27" s="29">
        <v>2000</v>
      </c>
      <c r="K27" s="12">
        <f t="shared" si="1"/>
        <v>119.99999999999999</v>
      </c>
      <c r="L27" s="21">
        <v>16.666666666666668</v>
      </c>
      <c r="M27" s="13">
        <f>AVERAGE(M21:M26)</f>
        <v>1912.1907253058282</v>
      </c>
      <c r="N27" s="12">
        <f t="shared" si="3"/>
        <v>114.73144351834968</v>
      </c>
      <c r="O27" s="14">
        <f t="shared" si="4"/>
        <v>0</v>
      </c>
      <c r="P27" s="15">
        <f t="shared" si="5"/>
        <v>-5.2685564816503074</v>
      </c>
      <c r="Q27" s="110">
        <f t="shared" si="6"/>
        <v>0.95609536265291406</v>
      </c>
      <c r="R27" s="616"/>
      <c r="S27" s="32"/>
      <c r="T27" s="32"/>
      <c r="U27" s="12"/>
      <c r="V27" s="118"/>
      <c r="W27" s="12"/>
      <c r="X27" s="12"/>
      <c r="Y27" s="22">
        <f>SUM(Y21:Y26)</f>
        <v>0</v>
      </c>
      <c r="Z27" s="22">
        <f>SUM(Z21:Z26)</f>
        <v>0</v>
      </c>
      <c r="AA27" s="611"/>
      <c r="AB27" s="611"/>
      <c r="AC27" s="22">
        <v>6</v>
      </c>
      <c r="AD27" s="22">
        <f>SUM(AD21:AD26)</f>
        <v>0</v>
      </c>
      <c r="AE27" s="14">
        <f t="shared" si="8"/>
        <v>-87.809274694171791</v>
      </c>
      <c r="AF27" s="110">
        <f t="shared" si="9"/>
        <v>0.95609536265291406</v>
      </c>
      <c r="AG27" s="616"/>
    </row>
    <row r="28" spans="1:33" ht="15.75" customHeight="1">
      <c r="A28" s="633" t="s">
        <v>281</v>
      </c>
      <c r="B28" s="27" t="s">
        <v>20</v>
      </c>
      <c r="C28" s="659" t="s">
        <v>21</v>
      </c>
      <c r="D28" s="659"/>
      <c r="E28" s="27">
        <v>31.29</v>
      </c>
      <c r="F28" s="119">
        <v>4700</v>
      </c>
      <c r="G28" s="111">
        <f t="shared" ref="G28:G34" si="23">E28*F28</f>
        <v>147063</v>
      </c>
      <c r="H28" s="31">
        <v>2</v>
      </c>
      <c r="I28" s="117">
        <v>18</v>
      </c>
      <c r="J28" s="29">
        <v>2400</v>
      </c>
      <c r="K28" s="12">
        <f t="shared" si="1"/>
        <v>133.33333333333334</v>
      </c>
      <c r="L28" s="117">
        <v>18</v>
      </c>
      <c r="M28" s="13">
        <f t="shared" ref="M28:M34" si="24">F28/V28*60</f>
        <v>2292.6829268292686</v>
      </c>
      <c r="N28" s="12">
        <f t="shared" si="3"/>
        <v>127.37127371273715</v>
      </c>
      <c r="O28" s="14">
        <f t="shared" si="4"/>
        <v>0</v>
      </c>
      <c r="P28" s="15">
        <f t="shared" si="5"/>
        <v>-5.9620596205961931</v>
      </c>
      <c r="Q28" s="110">
        <f t="shared" si="6"/>
        <v>0.9552845528455286</v>
      </c>
      <c r="R28" s="616">
        <f>Q35</f>
        <v>0.95543524770203947</v>
      </c>
      <c r="S28" s="32">
        <v>8.3333333333333329E-2</v>
      </c>
      <c r="T28" s="32">
        <v>0.16874999999999998</v>
      </c>
      <c r="U28" s="111"/>
      <c r="V28" s="118">
        <f t="shared" ref="V28:V34" si="25">(T28-S28)*24*60</f>
        <v>122.99999999999999</v>
      </c>
      <c r="W28" s="16">
        <f>T28</f>
        <v>0.16874999999999998</v>
      </c>
      <c r="X28" s="16">
        <f>S29</f>
        <v>0.18680555555555553</v>
      </c>
      <c r="Y28" s="16"/>
      <c r="Z28" s="16"/>
      <c r="AA28" s="612"/>
      <c r="AB28" s="612"/>
      <c r="AC28" s="136">
        <v>7</v>
      </c>
      <c r="AD28" s="18"/>
      <c r="AE28" s="14">
        <f t="shared" si="8"/>
        <v>-107.31707317073142</v>
      </c>
      <c r="AF28" s="110">
        <f t="shared" si="9"/>
        <v>0.9552845528455286</v>
      </c>
      <c r="AG28" s="616">
        <f>AF35</f>
        <v>0.95543524770203947</v>
      </c>
    </row>
    <row r="29" spans="1:33" ht="15.75" customHeight="1">
      <c r="A29" s="633" t="s">
        <v>281</v>
      </c>
      <c r="B29" s="27" t="s">
        <v>20</v>
      </c>
      <c r="C29" s="659" t="s">
        <v>22</v>
      </c>
      <c r="D29" s="659"/>
      <c r="E29" s="27">
        <v>26.37</v>
      </c>
      <c r="F29" s="119">
        <v>6101</v>
      </c>
      <c r="G29" s="111">
        <f t="shared" si="23"/>
        <v>160883.37</v>
      </c>
      <c r="H29" s="31" t="s">
        <v>40</v>
      </c>
      <c r="I29" s="117">
        <v>18</v>
      </c>
      <c r="J29" s="29">
        <v>2400</v>
      </c>
      <c r="K29" s="12">
        <f t="shared" si="1"/>
        <v>133.33333333333334</v>
      </c>
      <c r="L29" s="117">
        <v>18</v>
      </c>
      <c r="M29" s="13">
        <f t="shared" si="24"/>
        <v>2287.8750000000005</v>
      </c>
      <c r="N29" s="12">
        <f t="shared" si="3"/>
        <v>127.10416666666669</v>
      </c>
      <c r="O29" s="14">
        <f t="shared" si="4"/>
        <v>0</v>
      </c>
      <c r="P29" s="15">
        <f t="shared" si="5"/>
        <v>-6.2291666666666572</v>
      </c>
      <c r="Q29" s="110">
        <f t="shared" si="6"/>
        <v>0.95328125000000008</v>
      </c>
      <c r="R29" s="616"/>
      <c r="S29" s="32">
        <v>0.18680555555555553</v>
      </c>
      <c r="T29" s="32">
        <v>0.29791666666666661</v>
      </c>
      <c r="U29" s="111">
        <f t="shared" ref="U29:U34" si="26">(S29-T28)*24*60</f>
        <v>25.999999999999986</v>
      </c>
      <c r="V29" s="118">
        <f t="shared" si="25"/>
        <v>159.99999999999997</v>
      </c>
      <c r="W29" s="16"/>
      <c r="X29" s="16"/>
      <c r="Y29" s="16"/>
      <c r="Z29" s="16"/>
      <c r="AA29" s="612"/>
      <c r="AB29" s="612"/>
      <c r="AC29" s="136"/>
      <c r="AD29" s="18"/>
      <c r="AE29" s="14">
        <f t="shared" si="8"/>
        <v>-112.12499999999955</v>
      </c>
      <c r="AF29" s="110">
        <f t="shared" si="9"/>
        <v>0.95328125000000019</v>
      </c>
      <c r="AG29" s="616"/>
    </row>
    <row r="30" spans="1:33" ht="15.75" customHeight="1">
      <c r="A30" s="633" t="s">
        <v>281</v>
      </c>
      <c r="B30" s="27" t="s">
        <v>20</v>
      </c>
      <c r="C30" s="659" t="s">
        <v>57</v>
      </c>
      <c r="D30" s="659"/>
      <c r="E30" s="27">
        <v>26.18</v>
      </c>
      <c r="F30" s="119">
        <v>4200</v>
      </c>
      <c r="G30" s="111">
        <f t="shared" si="23"/>
        <v>109956</v>
      </c>
      <c r="H30" s="31">
        <v>2</v>
      </c>
      <c r="I30" s="117">
        <v>18</v>
      </c>
      <c r="J30" s="29">
        <v>2400</v>
      </c>
      <c r="K30" s="12">
        <f t="shared" si="1"/>
        <v>133.33333333333334</v>
      </c>
      <c r="L30" s="117">
        <v>18</v>
      </c>
      <c r="M30" s="13">
        <f t="shared" si="24"/>
        <v>2290.909090909091</v>
      </c>
      <c r="N30" s="12">
        <f t="shared" si="3"/>
        <v>127.27272727272728</v>
      </c>
      <c r="O30" s="14">
        <f t="shared" si="4"/>
        <v>0</v>
      </c>
      <c r="P30" s="15">
        <f t="shared" si="5"/>
        <v>-6.0606060606060623</v>
      </c>
      <c r="Q30" s="110">
        <f t="shared" si="6"/>
        <v>0.95454545454545459</v>
      </c>
      <c r="R30" s="616"/>
      <c r="S30" s="32">
        <v>0.30138888888888882</v>
      </c>
      <c r="T30" s="32">
        <v>0.37777777777777771</v>
      </c>
      <c r="U30" s="111">
        <f t="shared" si="26"/>
        <v>4.9999999999999822</v>
      </c>
      <c r="V30" s="118">
        <f t="shared" si="25"/>
        <v>110.00000000000001</v>
      </c>
      <c r="W30" s="16"/>
      <c r="X30" s="16"/>
      <c r="Y30" s="16"/>
      <c r="Z30" s="16"/>
      <c r="AA30" s="612"/>
      <c r="AB30" s="612"/>
      <c r="AC30" s="136"/>
      <c r="AD30" s="18"/>
      <c r="AE30" s="14">
        <f t="shared" si="8"/>
        <v>-109.09090909090901</v>
      </c>
      <c r="AF30" s="110">
        <f t="shared" si="9"/>
        <v>0.95454545454545459</v>
      </c>
      <c r="AG30" s="616"/>
    </row>
    <row r="31" spans="1:33" ht="15.75" customHeight="1">
      <c r="A31" s="633" t="s">
        <v>281</v>
      </c>
      <c r="B31" s="27" t="s">
        <v>20</v>
      </c>
      <c r="C31" s="659" t="s">
        <v>64</v>
      </c>
      <c r="D31" s="659"/>
      <c r="E31" s="27">
        <v>20.21</v>
      </c>
      <c r="F31" s="119">
        <v>3216</v>
      </c>
      <c r="G31" s="111">
        <f t="shared" si="23"/>
        <v>64995.360000000001</v>
      </c>
      <c r="H31" s="31" t="s">
        <v>40</v>
      </c>
      <c r="I31" s="117">
        <v>18</v>
      </c>
      <c r="J31" s="29">
        <v>2400</v>
      </c>
      <c r="K31" s="12">
        <f t="shared" si="1"/>
        <v>133.33333333333334</v>
      </c>
      <c r="L31" s="117">
        <v>18</v>
      </c>
      <c r="M31" s="13">
        <f t="shared" si="24"/>
        <v>2297.1428571428564</v>
      </c>
      <c r="N31" s="12">
        <f t="shared" si="3"/>
        <v>127.61904761904758</v>
      </c>
      <c r="O31" s="14">
        <f t="shared" si="4"/>
        <v>0</v>
      </c>
      <c r="P31" s="15">
        <f t="shared" si="5"/>
        <v>-5.714285714285765</v>
      </c>
      <c r="Q31" s="110">
        <f t="shared" si="6"/>
        <v>0.95714285714285674</v>
      </c>
      <c r="R31" s="616"/>
      <c r="S31" s="32">
        <v>0.38333333333333325</v>
      </c>
      <c r="T31" s="32">
        <v>0.4416666666666666</v>
      </c>
      <c r="U31" s="111">
        <f t="shared" si="26"/>
        <v>7.9999999999999716</v>
      </c>
      <c r="V31" s="118">
        <f t="shared" si="25"/>
        <v>84.000000000000028</v>
      </c>
      <c r="W31" s="16"/>
      <c r="X31" s="16"/>
      <c r="Y31" s="16"/>
      <c r="Z31" s="16"/>
      <c r="AA31" s="612"/>
      <c r="AB31" s="612"/>
      <c r="AC31" s="136"/>
      <c r="AD31" s="18"/>
      <c r="AE31" s="14">
        <f t="shared" si="8"/>
        <v>-102.85714285714357</v>
      </c>
      <c r="AF31" s="110">
        <f t="shared" si="9"/>
        <v>0.95714285714285685</v>
      </c>
      <c r="AG31" s="616"/>
    </row>
    <row r="32" spans="1:33" ht="15.75" customHeight="1">
      <c r="A32" s="633" t="s">
        <v>281</v>
      </c>
      <c r="B32" s="27" t="s">
        <v>20</v>
      </c>
      <c r="C32" s="659" t="s">
        <v>23</v>
      </c>
      <c r="D32" s="659"/>
      <c r="E32" s="27">
        <v>25.99</v>
      </c>
      <c r="F32" s="119">
        <v>3941</v>
      </c>
      <c r="G32" s="111">
        <f t="shared" si="23"/>
        <v>102426.59</v>
      </c>
      <c r="H32" s="31" t="s">
        <v>40</v>
      </c>
      <c r="I32" s="117">
        <v>14</v>
      </c>
      <c r="J32" s="29">
        <v>2400</v>
      </c>
      <c r="K32" s="12">
        <f t="shared" si="1"/>
        <v>171.42857142857142</v>
      </c>
      <c r="L32" s="117">
        <v>14</v>
      </c>
      <c r="M32" s="13">
        <f t="shared" si="24"/>
        <v>2295.7281553398052</v>
      </c>
      <c r="N32" s="12">
        <f t="shared" si="3"/>
        <v>163.9805825242718</v>
      </c>
      <c r="O32" s="14">
        <f t="shared" si="4"/>
        <v>0</v>
      </c>
      <c r="P32" s="15">
        <f t="shared" si="5"/>
        <v>-7.4479889042996206</v>
      </c>
      <c r="Q32" s="110">
        <f t="shared" si="6"/>
        <v>0.95655339805825224</v>
      </c>
      <c r="R32" s="616"/>
      <c r="S32" s="32">
        <v>0.44652777777777769</v>
      </c>
      <c r="T32" s="32">
        <v>0.51805555555555549</v>
      </c>
      <c r="U32" s="111">
        <f t="shared" si="26"/>
        <v>6.9999999999999751</v>
      </c>
      <c r="V32" s="118">
        <f t="shared" si="25"/>
        <v>103.00000000000003</v>
      </c>
      <c r="W32" s="16">
        <f>T32</f>
        <v>0.51805555555555549</v>
      </c>
      <c r="X32" s="16">
        <f>S33</f>
        <v>0.55902777777777768</v>
      </c>
      <c r="Y32" s="16"/>
      <c r="Z32" s="16"/>
      <c r="AA32" s="612"/>
      <c r="AB32" s="612"/>
      <c r="AC32" s="136"/>
      <c r="AD32" s="18"/>
      <c r="AE32" s="14">
        <f t="shared" si="8"/>
        <v>-104.2718446601948</v>
      </c>
      <c r="AF32" s="110">
        <f t="shared" si="9"/>
        <v>0.95655339805825212</v>
      </c>
      <c r="AG32" s="616"/>
    </row>
    <row r="33" spans="1:33" ht="15.75" customHeight="1">
      <c r="A33" s="633" t="s">
        <v>281</v>
      </c>
      <c r="B33" s="27" t="s">
        <v>20</v>
      </c>
      <c r="C33" s="659" t="s">
        <v>57</v>
      </c>
      <c r="D33" s="659"/>
      <c r="E33" s="27">
        <v>26.18</v>
      </c>
      <c r="F33" s="119">
        <v>3297</v>
      </c>
      <c r="G33" s="111">
        <f t="shared" si="23"/>
        <v>86315.459999999992</v>
      </c>
      <c r="H33" s="31" t="s">
        <v>40</v>
      </c>
      <c r="I33" s="117">
        <v>18</v>
      </c>
      <c r="J33" s="29">
        <v>2400</v>
      </c>
      <c r="K33" s="12">
        <f t="shared" si="1"/>
        <v>133.33333333333334</v>
      </c>
      <c r="L33" s="117">
        <v>18</v>
      </c>
      <c r="M33" s="13">
        <f t="shared" si="24"/>
        <v>2300.2325581395344</v>
      </c>
      <c r="N33" s="12">
        <f t="shared" si="3"/>
        <v>127.79069767441858</v>
      </c>
      <c r="O33" s="14">
        <f t="shared" si="4"/>
        <v>0</v>
      </c>
      <c r="P33" s="15">
        <f t="shared" si="5"/>
        <v>-5.5426356589147616</v>
      </c>
      <c r="Q33" s="110">
        <f t="shared" si="6"/>
        <v>0.95843023255813931</v>
      </c>
      <c r="R33" s="616"/>
      <c r="S33" s="32">
        <v>0.55902777777777768</v>
      </c>
      <c r="T33" s="32">
        <v>0.61874999999999991</v>
      </c>
      <c r="U33" s="111">
        <f t="shared" si="26"/>
        <v>58.99999999999995</v>
      </c>
      <c r="V33" s="118">
        <f t="shared" si="25"/>
        <v>86.000000000000014</v>
      </c>
      <c r="W33" s="16"/>
      <c r="X33" s="16"/>
      <c r="Y33" s="16"/>
      <c r="Z33" s="16"/>
      <c r="AA33" s="612"/>
      <c r="AB33" s="612"/>
      <c r="AC33" s="136"/>
      <c r="AD33" s="18"/>
      <c r="AE33" s="14">
        <f t="shared" si="8"/>
        <v>-99.767441860465624</v>
      </c>
      <c r="AF33" s="110">
        <f t="shared" si="9"/>
        <v>0.95843023255813931</v>
      </c>
      <c r="AG33" s="616"/>
    </row>
    <row r="34" spans="1:33" ht="15.75" customHeight="1">
      <c r="A34" s="633" t="s">
        <v>281</v>
      </c>
      <c r="B34" s="27" t="s">
        <v>20</v>
      </c>
      <c r="C34" s="659" t="s">
        <v>21</v>
      </c>
      <c r="D34" s="659"/>
      <c r="E34" s="27">
        <v>31.29</v>
      </c>
      <c r="F34" s="119">
        <v>3392</v>
      </c>
      <c r="G34" s="111">
        <f t="shared" si="23"/>
        <v>106135.67999999999</v>
      </c>
      <c r="H34" s="31" t="s">
        <v>40</v>
      </c>
      <c r="I34" s="117">
        <v>18</v>
      </c>
      <c r="J34" s="29">
        <v>2400</v>
      </c>
      <c r="K34" s="12">
        <f t="shared" si="1"/>
        <v>133.33333333333334</v>
      </c>
      <c r="L34" s="117">
        <v>18</v>
      </c>
      <c r="M34" s="13">
        <f t="shared" si="24"/>
        <v>2286.7415730337079</v>
      </c>
      <c r="N34" s="12">
        <f t="shared" si="3"/>
        <v>127.04119850187266</v>
      </c>
      <c r="O34" s="14">
        <f t="shared" si="4"/>
        <v>0</v>
      </c>
      <c r="P34" s="15">
        <f t="shared" si="5"/>
        <v>-6.292134831460686</v>
      </c>
      <c r="Q34" s="110">
        <f t="shared" si="6"/>
        <v>0.95280898876404485</v>
      </c>
      <c r="R34" s="616"/>
      <c r="S34" s="32">
        <v>0.62291666666666656</v>
      </c>
      <c r="T34" s="32">
        <v>0.68472222222222212</v>
      </c>
      <c r="U34" s="111">
        <f t="shared" si="26"/>
        <v>5.9999999999999787</v>
      </c>
      <c r="V34" s="118">
        <f t="shared" si="25"/>
        <v>89</v>
      </c>
      <c r="W34" s="16"/>
      <c r="X34" s="16"/>
      <c r="Y34" s="16"/>
      <c r="Z34" s="16"/>
      <c r="AA34" s="612"/>
      <c r="AB34" s="612"/>
      <c r="AC34" s="136"/>
      <c r="AD34" s="18"/>
      <c r="AE34" s="14">
        <f t="shared" si="8"/>
        <v>-113.25842696629206</v>
      </c>
      <c r="AF34" s="110">
        <f t="shared" si="9"/>
        <v>0.95280898876404496</v>
      </c>
      <c r="AG34" s="616"/>
    </row>
    <row r="35" spans="1:33" ht="15.75" customHeight="1">
      <c r="A35" s="633" t="s">
        <v>281</v>
      </c>
      <c r="B35" s="27" t="s">
        <v>275</v>
      </c>
      <c r="C35" s="658"/>
      <c r="D35" s="658"/>
      <c r="E35" s="112"/>
      <c r="F35" s="119"/>
      <c r="G35" s="111"/>
      <c r="H35" s="119"/>
      <c r="I35" s="21">
        <v>17.428571428571427</v>
      </c>
      <c r="J35" s="29">
        <v>2400</v>
      </c>
      <c r="K35" s="12">
        <f t="shared" si="1"/>
        <v>137.70491803278691</v>
      </c>
      <c r="L35" s="21">
        <v>17.428571428571427</v>
      </c>
      <c r="M35" s="13">
        <f>AVERAGE(M28:M34)</f>
        <v>2293.0445944848948</v>
      </c>
      <c r="N35" s="12">
        <f t="shared" si="3"/>
        <v>131.56813247044479</v>
      </c>
      <c r="O35" s="14">
        <f t="shared" si="4"/>
        <v>0</v>
      </c>
      <c r="P35" s="15">
        <f t="shared" si="5"/>
        <v>-6.1367855623421121</v>
      </c>
      <c r="Q35" s="110">
        <f t="shared" si="6"/>
        <v>0.95543524770203947</v>
      </c>
      <c r="R35" s="616"/>
      <c r="S35" s="32"/>
      <c r="T35" s="32"/>
      <c r="U35" s="111"/>
      <c r="V35" s="118"/>
      <c r="W35" s="111"/>
      <c r="X35" s="111"/>
      <c r="Y35" s="22">
        <f>SUM(Y28:Y34)</f>
        <v>0</v>
      </c>
      <c r="Z35" s="22">
        <f>SUM(Z28:Z34)</f>
        <v>0</v>
      </c>
      <c r="AA35" s="611"/>
      <c r="AB35" s="611"/>
      <c r="AC35" s="22">
        <v>7</v>
      </c>
      <c r="AD35" s="22">
        <f>SUM(AD28:AD34)</f>
        <v>0</v>
      </c>
      <c r="AE35" s="14">
        <f t="shared" si="8"/>
        <v>-106.95540551510521</v>
      </c>
      <c r="AF35" s="110">
        <f t="shared" si="9"/>
        <v>0.95543524770203947</v>
      </c>
      <c r="AG35" s="616"/>
    </row>
    <row r="36" spans="1:33" ht="15.75" customHeight="1">
      <c r="A36" s="629" t="s">
        <v>282</v>
      </c>
      <c r="B36" s="27" t="s">
        <v>20</v>
      </c>
      <c r="C36" s="660" t="s">
        <v>58</v>
      </c>
      <c r="D36" s="660"/>
      <c r="E36" s="27">
        <v>26.18</v>
      </c>
      <c r="F36" s="119">
        <v>5792</v>
      </c>
      <c r="G36" s="111">
        <f t="shared" ref="G36:G42" si="27">E36*F36</f>
        <v>151634.56</v>
      </c>
      <c r="H36" s="31" t="s">
        <v>40</v>
      </c>
      <c r="I36" s="117">
        <v>20</v>
      </c>
      <c r="J36" s="29">
        <v>2400</v>
      </c>
      <c r="K36" s="12">
        <f t="shared" si="1"/>
        <v>120</v>
      </c>
      <c r="L36" s="117">
        <v>20</v>
      </c>
      <c r="M36" s="13">
        <f t="shared" ref="M36:M42" si="28">F36/V36*60</f>
        <v>2286.3157894736842</v>
      </c>
      <c r="N36" s="12">
        <f t="shared" si="3"/>
        <v>114.31578947368421</v>
      </c>
      <c r="O36" s="14">
        <f t="shared" si="4"/>
        <v>0</v>
      </c>
      <c r="P36" s="15">
        <f t="shared" si="5"/>
        <v>-5.6842105263157947</v>
      </c>
      <c r="Q36" s="110">
        <f t="shared" si="6"/>
        <v>0.95263157894736838</v>
      </c>
      <c r="R36" s="616">
        <f>Q43</f>
        <v>0.95805441156734616</v>
      </c>
      <c r="S36" s="32">
        <v>8.3333333333333329E-2</v>
      </c>
      <c r="T36" s="32">
        <v>0.18888888888888888</v>
      </c>
      <c r="U36" s="111"/>
      <c r="V36" s="118">
        <f t="shared" ref="V36:V42" si="29">(T36-S36)*24*60</f>
        <v>152</v>
      </c>
      <c r="W36" s="20">
        <f>T36</f>
        <v>0.18888888888888888</v>
      </c>
      <c r="X36" s="20">
        <f>S37</f>
        <v>0.20902777777777778</v>
      </c>
      <c r="Y36" s="20"/>
      <c r="Z36" s="20"/>
      <c r="AA36" s="612"/>
      <c r="AB36" s="612"/>
      <c r="AC36" s="136">
        <v>7</v>
      </c>
      <c r="AD36" s="18"/>
      <c r="AE36" s="14">
        <f t="shared" si="8"/>
        <v>-113.68421052631584</v>
      </c>
      <c r="AF36" s="110">
        <f t="shared" si="9"/>
        <v>0.95263157894736838</v>
      </c>
      <c r="AG36" s="616">
        <f>AF43</f>
        <v>0.95805441156734616</v>
      </c>
    </row>
    <row r="37" spans="1:33" ht="15.75" customHeight="1">
      <c r="A37" s="629" t="s">
        <v>282</v>
      </c>
      <c r="B37" s="27" t="s">
        <v>20</v>
      </c>
      <c r="C37" s="660" t="s">
        <v>25</v>
      </c>
      <c r="D37" s="660"/>
      <c r="E37" s="27">
        <v>24.43</v>
      </c>
      <c r="F37" s="119">
        <v>3500</v>
      </c>
      <c r="G37" s="111">
        <f t="shared" si="27"/>
        <v>85505</v>
      </c>
      <c r="H37" s="31">
        <v>2</v>
      </c>
      <c r="I37" s="117">
        <v>14</v>
      </c>
      <c r="J37" s="29">
        <v>2400</v>
      </c>
      <c r="K37" s="12">
        <f t="shared" si="1"/>
        <v>171.42857142857142</v>
      </c>
      <c r="L37" s="117">
        <v>14</v>
      </c>
      <c r="M37" s="13">
        <f t="shared" si="28"/>
        <v>2307.6923076923067</v>
      </c>
      <c r="N37" s="12">
        <f t="shared" si="3"/>
        <v>164.83516483516476</v>
      </c>
      <c r="O37" s="14">
        <f t="shared" si="4"/>
        <v>0</v>
      </c>
      <c r="P37" s="15">
        <f t="shared" si="5"/>
        <v>-6.5934065934066552</v>
      </c>
      <c r="Q37" s="110">
        <f t="shared" si="6"/>
        <v>0.96153846153846112</v>
      </c>
      <c r="R37" s="616"/>
      <c r="S37" s="32">
        <v>0.20902777777777778</v>
      </c>
      <c r="T37" s="32">
        <v>0.27222222222222225</v>
      </c>
      <c r="U37" s="111">
        <f t="shared" ref="U37:U42" si="30">(S37-T36)*24*60</f>
        <v>29.000000000000018</v>
      </c>
      <c r="V37" s="118">
        <f t="shared" si="29"/>
        <v>91.000000000000043</v>
      </c>
      <c r="W37" s="111"/>
      <c r="X37" s="111"/>
      <c r="Y37" s="111"/>
      <c r="Z37" s="111"/>
      <c r="AA37" s="612"/>
      <c r="AB37" s="612"/>
      <c r="AC37" s="136"/>
      <c r="AD37" s="18"/>
      <c r="AE37" s="14">
        <f t="shared" si="8"/>
        <v>-92.307692307693287</v>
      </c>
      <c r="AF37" s="110">
        <f t="shared" si="9"/>
        <v>0.96153846153846112</v>
      </c>
      <c r="AG37" s="616"/>
    </row>
    <row r="38" spans="1:33">
      <c r="A38" s="630" t="s">
        <v>282</v>
      </c>
      <c r="B38" s="27" t="s">
        <v>20</v>
      </c>
      <c r="C38" s="660" t="s">
        <v>83</v>
      </c>
      <c r="D38" s="660"/>
      <c r="E38" s="27">
        <v>25.98</v>
      </c>
      <c r="F38" s="119">
        <v>4701</v>
      </c>
      <c r="G38" s="111">
        <f t="shared" si="27"/>
        <v>122131.98</v>
      </c>
      <c r="H38" s="31" t="s">
        <v>40</v>
      </c>
      <c r="I38" s="117">
        <v>20</v>
      </c>
      <c r="J38" s="29">
        <v>2400</v>
      </c>
      <c r="K38" s="12">
        <f t="shared" si="1"/>
        <v>120</v>
      </c>
      <c r="L38" s="117">
        <v>20</v>
      </c>
      <c r="M38" s="13">
        <f t="shared" si="28"/>
        <v>2293.1707317073178</v>
      </c>
      <c r="N38" s="12">
        <f t="shared" si="3"/>
        <v>114.65853658536589</v>
      </c>
      <c r="O38" s="14">
        <f t="shared" si="4"/>
        <v>0</v>
      </c>
      <c r="P38" s="15">
        <f t="shared" si="5"/>
        <v>-5.3414634146341058</v>
      </c>
      <c r="Q38" s="110">
        <f t="shared" si="6"/>
        <v>0.95548780487804907</v>
      </c>
      <c r="R38" s="616"/>
      <c r="S38" s="32">
        <v>0.27777777777777779</v>
      </c>
      <c r="T38" s="32">
        <v>0.36319444444444443</v>
      </c>
      <c r="U38" s="111">
        <f t="shared" si="30"/>
        <v>7.9999999999999716</v>
      </c>
      <c r="V38" s="118">
        <f t="shared" si="29"/>
        <v>122.99999999999996</v>
      </c>
      <c r="W38" s="111"/>
      <c r="X38" s="111"/>
      <c r="Y38" s="111"/>
      <c r="Z38" s="111"/>
      <c r="AA38" s="612"/>
      <c r="AB38" s="612"/>
      <c r="AC38" s="136"/>
      <c r="AD38" s="18"/>
      <c r="AE38" s="14">
        <f t="shared" si="8"/>
        <v>-106.82926829268217</v>
      </c>
      <c r="AF38" s="110">
        <f t="shared" si="9"/>
        <v>0.95548780487804907</v>
      </c>
      <c r="AG38" s="616"/>
    </row>
    <row r="39" spans="1:33">
      <c r="A39" s="630" t="s">
        <v>282</v>
      </c>
      <c r="B39" s="27" t="s">
        <v>20</v>
      </c>
      <c r="C39" s="660" t="s">
        <v>26</v>
      </c>
      <c r="D39" s="660"/>
      <c r="E39" s="27">
        <v>34.1</v>
      </c>
      <c r="F39" s="119">
        <v>2400</v>
      </c>
      <c r="G39" s="111">
        <f t="shared" si="27"/>
        <v>81840</v>
      </c>
      <c r="H39" s="31">
        <v>2</v>
      </c>
      <c r="I39" s="117">
        <v>17</v>
      </c>
      <c r="J39" s="29">
        <v>1600</v>
      </c>
      <c r="K39" s="12">
        <f t="shared" si="1"/>
        <v>94.117647058823536</v>
      </c>
      <c r="L39" s="117">
        <v>17</v>
      </c>
      <c r="M39" s="13">
        <f t="shared" si="28"/>
        <v>1531.9148936170216</v>
      </c>
      <c r="N39" s="12">
        <f t="shared" si="3"/>
        <v>90.112640801001263</v>
      </c>
      <c r="O39" s="14">
        <f t="shared" si="4"/>
        <v>0</v>
      </c>
      <c r="P39" s="15">
        <f t="shared" si="5"/>
        <v>-4.0050062578222736</v>
      </c>
      <c r="Q39" s="110">
        <f t="shared" si="6"/>
        <v>0.95744680851063835</v>
      </c>
      <c r="R39" s="616"/>
      <c r="S39" s="32">
        <v>0.36666666666666664</v>
      </c>
      <c r="T39" s="32">
        <v>0.43194444444444441</v>
      </c>
      <c r="U39" s="111">
        <f t="shared" si="30"/>
        <v>4.9999999999999822</v>
      </c>
      <c r="V39" s="118">
        <f t="shared" si="29"/>
        <v>93.999999999999986</v>
      </c>
      <c r="W39" s="16"/>
      <c r="X39" s="16"/>
      <c r="Y39" s="16"/>
      <c r="Z39" s="16"/>
      <c r="AA39" s="612"/>
      <c r="AB39" s="612"/>
      <c r="AC39" s="136"/>
      <c r="AD39" s="18"/>
      <c r="AE39" s="14">
        <f t="shared" si="8"/>
        <v>-68.085106382978438</v>
      </c>
      <c r="AF39" s="110">
        <f t="shared" si="9"/>
        <v>0.95744680851063846</v>
      </c>
      <c r="AG39" s="616"/>
    </row>
    <row r="40" spans="1:33">
      <c r="A40" s="630" t="s">
        <v>282</v>
      </c>
      <c r="B40" s="27" t="s">
        <v>20</v>
      </c>
      <c r="C40" s="660" t="s">
        <v>37</v>
      </c>
      <c r="D40" s="660"/>
      <c r="E40" s="27">
        <v>20.21</v>
      </c>
      <c r="F40" s="119">
        <v>2889</v>
      </c>
      <c r="G40" s="111">
        <f t="shared" si="27"/>
        <v>58386.69</v>
      </c>
      <c r="H40" s="31" t="s">
        <v>40</v>
      </c>
      <c r="I40" s="117">
        <v>15</v>
      </c>
      <c r="J40" s="29">
        <v>2400</v>
      </c>
      <c r="K40" s="12">
        <f t="shared" si="1"/>
        <v>160</v>
      </c>
      <c r="L40" s="117">
        <v>15</v>
      </c>
      <c r="M40" s="13">
        <f t="shared" si="28"/>
        <v>2311.2000000000012</v>
      </c>
      <c r="N40" s="12">
        <f t="shared" si="3"/>
        <v>154.08000000000007</v>
      </c>
      <c r="O40" s="14">
        <f t="shared" si="4"/>
        <v>0</v>
      </c>
      <c r="P40" s="15">
        <f t="shared" si="5"/>
        <v>-5.9199999999999307</v>
      </c>
      <c r="Q40" s="110">
        <f t="shared" si="6"/>
        <v>0.96300000000000041</v>
      </c>
      <c r="R40" s="616"/>
      <c r="S40" s="32">
        <v>0.43611111111111106</v>
      </c>
      <c r="T40" s="32">
        <v>0.48819444444444438</v>
      </c>
      <c r="U40" s="111">
        <f t="shared" si="30"/>
        <v>5.9999999999999787</v>
      </c>
      <c r="V40" s="118">
        <f t="shared" si="29"/>
        <v>74.999999999999972</v>
      </c>
      <c r="W40" s="16">
        <f>T40</f>
        <v>0.48819444444444438</v>
      </c>
      <c r="X40" s="16">
        <f>S41</f>
        <v>0.52986111111111101</v>
      </c>
      <c r="Y40" s="16"/>
      <c r="Z40" s="16"/>
      <c r="AA40" s="612"/>
      <c r="AB40" s="612"/>
      <c r="AC40" s="136"/>
      <c r="AD40" s="18"/>
      <c r="AE40" s="14">
        <f t="shared" si="8"/>
        <v>-88.799999999998818</v>
      </c>
      <c r="AF40" s="110">
        <f t="shared" si="9"/>
        <v>0.96300000000000052</v>
      </c>
      <c r="AG40" s="616"/>
    </row>
    <row r="41" spans="1:33">
      <c r="A41" s="630" t="s">
        <v>282</v>
      </c>
      <c r="B41" s="27" t="s">
        <v>20</v>
      </c>
      <c r="C41" s="660" t="s">
        <v>26</v>
      </c>
      <c r="D41" s="660"/>
      <c r="E41" s="27">
        <v>34.1</v>
      </c>
      <c r="F41" s="119">
        <v>3656</v>
      </c>
      <c r="G41" s="111">
        <f t="shared" si="27"/>
        <v>124669.6</v>
      </c>
      <c r="H41" s="31" t="s">
        <v>40</v>
      </c>
      <c r="I41" s="117">
        <v>17</v>
      </c>
      <c r="J41" s="29">
        <v>1600</v>
      </c>
      <c r="K41" s="12">
        <f t="shared" si="1"/>
        <v>94.117647058823536</v>
      </c>
      <c r="L41" s="117">
        <v>17</v>
      </c>
      <c r="M41" s="13">
        <f t="shared" si="28"/>
        <v>1523.3333333333335</v>
      </c>
      <c r="N41" s="12">
        <f t="shared" si="3"/>
        <v>89.607843137254918</v>
      </c>
      <c r="O41" s="14">
        <f t="shared" si="4"/>
        <v>0</v>
      </c>
      <c r="P41" s="15">
        <f t="shared" si="5"/>
        <v>-4.5098039215686185</v>
      </c>
      <c r="Q41" s="110">
        <f t="shared" si="6"/>
        <v>0.95208333333333339</v>
      </c>
      <c r="R41" s="616"/>
      <c r="S41" s="32">
        <v>0.52986111111111101</v>
      </c>
      <c r="T41" s="32">
        <v>0.62986111111111098</v>
      </c>
      <c r="U41" s="111">
        <f t="shared" si="30"/>
        <v>59.999999999999943</v>
      </c>
      <c r="V41" s="118">
        <f t="shared" si="29"/>
        <v>143.99999999999997</v>
      </c>
      <c r="W41" s="16"/>
      <c r="X41" s="16"/>
      <c r="Y41" s="16"/>
      <c r="Z41" s="16"/>
      <c r="AA41" s="612"/>
      <c r="AB41" s="612"/>
      <c r="AC41" s="136"/>
      <c r="AD41" s="18"/>
      <c r="AE41" s="14">
        <f t="shared" si="8"/>
        <v>-76.666666666666515</v>
      </c>
      <c r="AF41" s="110">
        <f t="shared" si="9"/>
        <v>0.95208333333333339</v>
      </c>
      <c r="AG41" s="616"/>
    </row>
    <row r="42" spans="1:33">
      <c r="A42" s="630" t="s">
        <v>282</v>
      </c>
      <c r="B42" s="27" t="s">
        <v>20</v>
      </c>
      <c r="C42" s="660" t="s">
        <v>25</v>
      </c>
      <c r="D42" s="660"/>
      <c r="E42" s="27">
        <v>24.43</v>
      </c>
      <c r="F42" s="119">
        <v>2886</v>
      </c>
      <c r="G42" s="111">
        <f t="shared" si="27"/>
        <v>70504.98</v>
      </c>
      <c r="H42" s="31" t="s">
        <v>40</v>
      </c>
      <c r="I42" s="117">
        <v>14</v>
      </c>
      <c r="J42" s="29">
        <v>2400</v>
      </c>
      <c r="K42" s="12">
        <f t="shared" si="1"/>
        <v>171.42857142857142</v>
      </c>
      <c r="L42" s="117">
        <v>14</v>
      </c>
      <c r="M42" s="13">
        <f t="shared" si="28"/>
        <v>2308.7999999999979</v>
      </c>
      <c r="N42" s="12">
        <f t="shared" si="3"/>
        <v>164.91428571428557</v>
      </c>
      <c r="O42" s="14">
        <f t="shared" si="4"/>
        <v>0</v>
      </c>
      <c r="P42" s="15">
        <f t="shared" si="5"/>
        <v>-6.5142857142858475</v>
      </c>
      <c r="Q42" s="110">
        <f t="shared" si="6"/>
        <v>0.96199999999999919</v>
      </c>
      <c r="R42" s="616"/>
      <c r="S42" s="32">
        <v>0.63333333333333319</v>
      </c>
      <c r="T42" s="32">
        <v>0.68541666666666656</v>
      </c>
      <c r="U42" s="111">
        <f t="shared" si="30"/>
        <v>4.9999999999999822</v>
      </c>
      <c r="V42" s="118">
        <f t="shared" si="29"/>
        <v>75.000000000000057</v>
      </c>
      <c r="W42" s="16"/>
      <c r="X42" s="16"/>
      <c r="Y42" s="19"/>
      <c r="Z42" s="19"/>
      <c r="AA42" s="607"/>
      <c r="AB42" s="608"/>
      <c r="AC42" s="136"/>
      <c r="AD42" s="18"/>
      <c r="AE42" s="14">
        <f t="shared" si="8"/>
        <v>-91.200000000002092</v>
      </c>
      <c r="AF42" s="110">
        <f t="shared" si="9"/>
        <v>0.96199999999999908</v>
      </c>
      <c r="AG42" s="616"/>
    </row>
    <row r="43" spans="1:33">
      <c r="A43" s="630" t="s">
        <v>282</v>
      </c>
      <c r="B43" s="28" t="s">
        <v>275</v>
      </c>
      <c r="C43" s="658"/>
      <c r="D43" s="658"/>
      <c r="E43" s="112"/>
      <c r="F43" s="28"/>
      <c r="G43" s="12"/>
      <c r="H43" s="119"/>
      <c r="I43" s="21">
        <v>16.714285714285715</v>
      </c>
      <c r="J43" s="29">
        <v>2171.4285714285716</v>
      </c>
      <c r="K43" s="12">
        <f t="shared" si="1"/>
        <v>129.91452991452991</v>
      </c>
      <c r="L43" s="21">
        <v>16.714285714285715</v>
      </c>
      <c r="M43" s="13">
        <f>AVERAGE(M36:M42)</f>
        <v>2080.3467222605232</v>
      </c>
      <c r="N43" s="12">
        <f t="shared" si="3"/>
        <v>124.46518851131334</v>
      </c>
      <c r="O43" s="14">
        <f t="shared" si="4"/>
        <v>0</v>
      </c>
      <c r="P43" s="15">
        <f t="shared" si="5"/>
        <v>-5.4493414032165646</v>
      </c>
      <c r="Q43" s="110">
        <f t="shared" si="6"/>
        <v>0.95805441156734616</v>
      </c>
      <c r="R43" s="616"/>
      <c r="S43" s="32"/>
      <c r="T43" s="32"/>
      <c r="U43" s="12"/>
      <c r="V43" s="118"/>
      <c r="W43" s="12"/>
      <c r="X43" s="12"/>
      <c r="Y43" s="22">
        <f>SUM(Y36:Y42)</f>
        <v>0</v>
      </c>
      <c r="Z43" s="22">
        <f>SUM(Z36:Z42)</f>
        <v>0</v>
      </c>
      <c r="AA43" s="611"/>
      <c r="AB43" s="611"/>
      <c r="AC43" s="22">
        <v>7</v>
      </c>
      <c r="AD43" s="22">
        <f>SUM(AD36:AD42)</f>
        <v>0</v>
      </c>
      <c r="AE43" s="14">
        <f t="shared" si="8"/>
        <v>-91.081849168048393</v>
      </c>
      <c r="AF43" s="110">
        <f t="shared" si="9"/>
        <v>0.95805441156734616</v>
      </c>
      <c r="AG43" s="616"/>
    </row>
    <row r="44" spans="1:33" ht="15.75" customHeight="1">
      <c r="A44" s="623" t="s">
        <v>283</v>
      </c>
      <c r="B44" s="27" t="s">
        <v>27</v>
      </c>
      <c r="C44" s="605" t="s">
        <v>33</v>
      </c>
      <c r="D44" s="606"/>
      <c r="E44" s="27">
        <v>34.36</v>
      </c>
      <c r="F44" s="119">
        <v>2223</v>
      </c>
      <c r="G44" s="111">
        <f t="shared" ref="G44:G46" si="31">E44*F44</f>
        <v>76382.28</v>
      </c>
      <c r="H44" s="31" t="s">
        <v>40</v>
      </c>
      <c r="I44" s="117">
        <v>10</v>
      </c>
      <c r="J44" s="29">
        <v>3000</v>
      </c>
      <c r="K44" s="12">
        <f t="shared" si="1"/>
        <v>300</v>
      </c>
      <c r="L44" s="117">
        <v>10</v>
      </c>
      <c r="M44" s="13">
        <f t="shared" ref="M44:M46" si="32">F44/V44*60</f>
        <v>2899.5652173913045</v>
      </c>
      <c r="N44" s="13">
        <f t="shared" si="3"/>
        <v>289.95652173913044</v>
      </c>
      <c r="O44" s="14">
        <f t="shared" si="4"/>
        <v>0</v>
      </c>
      <c r="P44" s="15">
        <f t="shared" si="5"/>
        <v>-10.043478260869563</v>
      </c>
      <c r="Q44" s="110">
        <f t="shared" si="6"/>
        <v>0.96652173913043482</v>
      </c>
      <c r="R44" s="626">
        <f>Q47</f>
        <v>0.95767848604623318</v>
      </c>
      <c r="S44" s="32">
        <v>0.20833333333333334</v>
      </c>
      <c r="T44" s="32">
        <v>0.24027777777777778</v>
      </c>
      <c r="U44" s="20"/>
      <c r="V44" s="118">
        <f t="shared" ref="V44:V46" si="33">(T44-S44)*24*60</f>
        <v>46</v>
      </c>
      <c r="W44" s="16"/>
      <c r="X44" s="16"/>
      <c r="Y44" s="19"/>
      <c r="Z44" s="19"/>
      <c r="AA44" s="607"/>
      <c r="AB44" s="608"/>
      <c r="AC44" s="136">
        <v>3</v>
      </c>
      <c r="AD44" s="18"/>
      <c r="AE44" s="14">
        <f t="shared" si="8"/>
        <v>-100.43478260869551</v>
      </c>
      <c r="AF44" s="110">
        <f t="shared" si="9"/>
        <v>0.96652173913043482</v>
      </c>
      <c r="AG44" s="626">
        <f>AF47</f>
        <v>0.95767848604623318</v>
      </c>
    </row>
    <row r="45" spans="1:33" ht="15.75" customHeight="1">
      <c r="A45" s="624" t="s">
        <v>283</v>
      </c>
      <c r="B45" s="27" t="s">
        <v>27</v>
      </c>
      <c r="C45" s="605" t="s">
        <v>29</v>
      </c>
      <c r="D45" s="606"/>
      <c r="E45" s="27">
        <v>21.13</v>
      </c>
      <c r="F45" s="119">
        <v>5769</v>
      </c>
      <c r="G45" s="111">
        <f t="shared" si="31"/>
        <v>121898.97</v>
      </c>
      <c r="H45" s="31" t="s">
        <v>40</v>
      </c>
      <c r="I45" s="117">
        <v>10</v>
      </c>
      <c r="J45" s="29">
        <v>3000</v>
      </c>
      <c r="K45" s="12">
        <f t="shared" si="1"/>
        <v>300</v>
      </c>
      <c r="L45" s="117">
        <v>10</v>
      </c>
      <c r="M45" s="13">
        <f t="shared" si="32"/>
        <v>2860.6611570247942</v>
      </c>
      <c r="N45" s="13">
        <f t="shared" si="3"/>
        <v>286.06611570247941</v>
      </c>
      <c r="O45" s="14">
        <f t="shared" si="4"/>
        <v>0</v>
      </c>
      <c r="P45" s="15">
        <f t="shared" si="5"/>
        <v>-13.933884297520592</v>
      </c>
      <c r="Q45" s="110">
        <f t="shared" si="6"/>
        <v>0.95355371900826469</v>
      </c>
      <c r="R45" s="627"/>
      <c r="S45" s="32">
        <v>0.24444444444444446</v>
      </c>
      <c r="T45" s="32">
        <v>0.32847222222222222</v>
      </c>
      <c r="U45" s="111">
        <f t="shared" ref="U45:U46" si="34">(S45-T44)*24*60</f>
        <v>6.0000000000000187</v>
      </c>
      <c r="V45" s="118">
        <f t="shared" si="33"/>
        <v>120.99999999999997</v>
      </c>
      <c r="W45" s="16"/>
      <c r="X45" s="16"/>
      <c r="Y45" s="19"/>
      <c r="Z45" s="19"/>
      <c r="AA45" s="607"/>
      <c r="AB45" s="608"/>
      <c r="AC45" s="136"/>
      <c r="AD45" s="18"/>
      <c r="AE45" s="14">
        <f t="shared" si="8"/>
        <v>-139.33884297520581</v>
      </c>
      <c r="AF45" s="110">
        <f t="shared" si="9"/>
        <v>0.95355371900826469</v>
      </c>
      <c r="AG45" s="627"/>
    </row>
    <row r="46" spans="1:33" ht="15.75" customHeight="1">
      <c r="A46" s="624" t="s">
        <v>283</v>
      </c>
      <c r="B46" s="27" t="s">
        <v>27</v>
      </c>
      <c r="C46" s="605" t="s">
        <v>30</v>
      </c>
      <c r="D46" s="606"/>
      <c r="E46" s="27">
        <v>27.17</v>
      </c>
      <c r="F46" s="119">
        <v>5956</v>
      </c>
      <c r="G46" s="111">
        <f t="shared" si="31"/>
        <v>161824.52000000002</v>
      </c>
      <c r="H46" s="31" t="s">
        <v>40</v>
      </c>
      <c r="I46" s="117">
        <v>10</v>
      </c>
      <c r="J46" s="29">
        <v>3000</v>
      </c>
      <c r="K46" s="12">
        <f t="shared" si="1"/>
        <v>300</v>
      </c>
      <c r="L46" s="117">
        <v>10</v>
      </c>
      <c r="M46" s="13">
        <f t="shared" si="32"/>
        <v>2858.8799999999992</v>
      </c>
      <c r="N46" s="13">
        <f t="shared" si="3"/>
        <v>285.88799999999992</v>
      </c>
      <c r="O46" s="14">
        <f t="shared" si="4"/>
        <v>0</v>
      </c>
      <c r="P46" s="15">
        <f t="shared" si="5"/>
        <v>-14.11200000000008</v>
      </c>
      <c r="Q46" s="110">
        <f t="shared" si="6"/>
        <v>0.9529599999999997</v>
      </c>
      <c r="R46" s="627"/>
      <c r="S46" s="32">
        <v>0.33194444444444443</v>
      </c>
      <c r="T46" s="32">
        <v>0.41875000000000001</v>
      </c>
      <c r="U46" s="111">
        <f t="shared" si="34"/>
        <v>4.9999999999999822</v>
      </c>
      <c r="V46" s="118">
        <f t="shared" si="33"/>
        <v>125.00000000000003</v>
      </c>
      <c r="W46" s="16"/>
      <c r="X46" s="16"/>
      <c r="Y46" s="19"/>
      <c r="Z46" s="19"/>
      <c r="AA46" s="607"/>
      <c r="AB46" s="608"/>
      <c r="AC46" s="136"/>
      <c r="AD46" s="18"/>
      <c r="AE46" s="14">
        <f t="shared" si="8"/>
        <v>-141.1200000000008</v>
      </c>
      <c r="AF46" s="110">
        <f t="shared" si="9"/>
        <v>0.9529599999999997</v>
      </c>
      <c r="AG46" s="627"/>
    </row>
    <row r="47" spans="1:33" ht="15.75" customHeight="1">
      <c r="A47" s="625" t="s">
        <v>283</v>
      </c>
      <c r="B47" s="27" t="s">
        <v>275</v>
      </c>
      <c r="C47" s="609"/>
      <c r="D47" s="610"/>
      <c r="E47" s="108"/>
      <c r="F47" s="119"/>
      <c r="G47" s="111"/>
      <c r="H47" s="119"/>
      <c r="I47" s="21">
        <v>10</v>
      </c>
      <c r="J47" s="29">
        <v>3000</v>
      </c>
      <c r="K47" s="12">
        <f t="shared" si="1"/>
        <v>300</v>
      </c>
      <c r="L47" s="21">
        <v>10</v>
      </c>
      <c r="M47" s="13">
        <f>AVERAGE(M44:M46)</f>
        <v>2873.0354581386996</v>
      </c>
      <c r="N47" s="12">
        <f t="shared" si="3"/>
        <v>287.30354581386996</v>
      </c>
      <c r="O47" s="14">
        <f t="shared" si="4"/>
        <v>0</v>
      </c>
      <c r="P47" s="15">
        <f t="shared" si="5"/>
        <v>-12.69645418613004</v>
      </c>
      <c r="Q47" s="110">
        <f t="shared" si="6"/>
        <v>0.95767848604623318</v>
      </c>
      <c r="R47" s="628"/>
      <c r="S47" s="32"/>
      <c r="T47" s="32"/>
      <c r="U47" s="111"/>
      <c r="V47" s="118"/>
      <c r="W47" s="16"/>
      <c r="X47" s="16"/>
      <c r="Y47" s="22">
        <f>SUM(Y44:Y46)</f>
        <v>0</v>
      </c>
      <c r="Z47" s="22">
        <f>SUM(Z44:Z46)</f>
        <v>0</v>
      </c>
      <c r="AA47" s="619"/>
      <c r="AB47" s="620"/>
      <c r="AC47" s="22">
        <v>3</v>
      </c>
      <c r="AD47" s="22">
        <f>SUM(AD44:AD46)</f>
        <v>0</v>
      </c>
      <c r="AE47" s="14">
        <f t="shared" si="8"/>
        <v>-126.9645418613004</v>
      </c>
      <c r="AF47" s="110">
        <f t="shared" si="9"/>
        <v>0.95767848604623318</v>
      </c>
      <c r="AG47" s="628"/>
    </row>
    <row r="48" spans="1:33" ht="15.75" customHeight="1">
      <c r="A48" s="621" t="s">
        <v>284</v>
      </c>
      <c r="B48" s="27" t="s">
        <v>5</v>
      </c>
      <c r="C48" s="660" t="s">
        <v>15</v>
      </c>
      <c r="D48" s="660"/>
      <c r="E48" s="27">
        <v>59.04</v>
      </c>
      <c r="F48" s="30">
        <v>2225</v>
      </c>
      <c r="G48" s="111">
        <f t="shared" ref="G48:G54" si="35">E48*F48</f>
        <v>131364</v>
      </c>
      <c r="H48" s="31" t="s">
        <v>40</v>
      </c>
      <c r="I48" s="117">
        <v>19</v>
      </c>
      <c r="J48" s="29">
        <v>2000</v>
      </c>
      <c r="K48" s="12">
        <f t="shared" si="1"/>
        <v>105.26315789473684</v>
      </c>
      <c r="L48" s="117">
        <v>19</v>
      </c>
      <c r="M48" s="13">
        <f t="shared" ref="M48" si="36">F48/V48*60</f>
        <v>1907.1428571428564</v>
      </c>
      <c r="N48" s="13">
        <f t="shared" si="3"/>
        <v>100.37593984962402</v>
      </c>
      <c r="O48" s="14">
        <f t="shared" si="4"/>
        <v>0</v>
      </c>
      <c r="P48" s="15">
        <f t="shared" si="5"/>
        <v>-4.8872180451128173</v>
      </c>
      <c r="Q48" s="110">
        <f t="shared" si="6"/>
        <v>0.95357142857142818</v>
      </c>
      <c r="R48" s="616">
        <f>Q55</f>
        <v>0.95659420352395974</v>
      </c>
      <c r="S48" s="32">
        <v>0.20833333333333334</v>
      </c>
      <c r="T48" s="32">
        <v>0.25694444444444448</v>
      </c>
      <c r="U48" s="20"/>
      <c r="V48" s="118">
        <f t="shared" ref="V48:V54" si="37">(T48-S48)*24*60</f>
        <v>70.000000000000028</v>
      </c>
      <c r="W48" s="16"/>
      <c r="X48" s="16"/>
      <c r="Y48" s="20"/>
      <c r="Z48" s="20"/>
      <c r="AA48" s="612"/>
      <c r="AB48" s="612"/>
      <c r="AC48" s="136">
        <v>7</v>
      </c>
      <c r="AD48" s="18"/>
      <c r="AE48" s="14">
        <f t="shared" si="8"/>
        <v>-92.857142857143572</v>
      </c>
      <c r="AF48" s="110">
        <f t="shared" si="9"/>
        <v>0.95357142857142818</v>
      </c>
      <c r="AG48" s="616">
        <f>AF55</f>
        <v>0.95659420352395974</v>
      </c>
    </row>
    <row r="49" spans="1:33" ht="15.75" customHeight="1">
      <c r="A49" s="621" t="s">
        <v>284</v>
      </c>
      <c r="B49" s="27" t="s">
        <v>5</v>
      </c>
      <c r="C49" s="660" t="s">
        <v>31</v>
      </c>
      <c r="D49" s="660"/>
      <c r="E49" s="27">
        <v>56.43</v>
      </c>
      <c r="F49" s="30">
        <v>1271</v>
      </c>
      <c r="G49" s="111">
        <f t="shared" si="35"/>
        <v>71722.53</v>
      </c>
      <c r="H49" s="31" t="s">
        <v>40</v>
      </c>
      <c r="I49" s="117">
        <v>22</v>
      </c>
      <c r="J49" s="29">
        <v>2000</v>
      </c>
      <c r="K49" s="12">
        <f t="shared" si="1"/>
        <v>90.909090909090907</v>
      </c>
      <c r="L49" s="117">
        <v>22</v>
      </c>
      <c r="M49" s="13">
        <f>F49/V49*60</f>
        <v>1906.4999999999993</v>
      </c>
      <c r="N49" s="13">
        <f t="shared" si="3"/>
        <v>86.659090909090878</v>
      </c>
      <c r="O49" s="14">
        <f t="shared" si="4"/>
        <v>0</v>
      </c>
      <c r="P49" s="15">
        <f t="shared" si="5"/>
        <v>-4.2500000000000284</v>
      </c>
      <c r="Q49" s="110">
        <f t="shared" si="6"/>
        <v>0.95324999999999971</v>
      </c>
      <c r="R49" s="616"/>
      <c r="S49" s="32">
        <v>0.26180555555555557</v>
      </c>
      <c r="T49" s="32">
        <v>0.28958333333333336</v>
      </c>
      <c r="U49" s="111">
        <f t="shared" ref="U49:U54" si="38">IF(S49=TIME(17,0,0),"",(S49-T48)*24*60)</f>
        <v>6.9999999999999751</v>
      </c>
      <c r="V49" s="118">
        <f t="shared" si="37"/>
        <v>40.000000000000014</v>
      </c>
      <c r="W49" s="16"/>
      <c r="X49" s="16"/>
      <c r="Y49" s="16"/>
      <c r="Z49" s="16"/>
      <c r="AA49" s="612"/>
      <c r="AB49" s="612"/>
      <c r="AC49" s="136"/>
      <c r="AD49" s="18"/>
      <c r="AE49" s="14">
        <f t="shared" si="8"/>
        <v>-93.500000000000682</v>
      </c>
      <c r="AF49" s="110">
        <f t="shared" si="9"/>
        <v>0.95324999999999971</v>
      </c>
      <c r="AG49" s="616"/>
    </row>
    <row r="50" spans="1:33" ht="15.75" customHeight="1">
      <c r="A50" s="621" t="s">
        <v>284</v>
      </c>
      <c r="B50" s="27" t="s">
        <v>8</v>
      </c>
      <c r="C50" s="605" t="s">
        <v>61</v>
      </c>
      <c r="D50" s="606"/>
      <c r="E50" s="27">
        <v>46</v>
      </c>
      <c r="F50" s="30">
        <v>2409</v>
      </c>
      <c r="G50" s="111">
        <f t="shared" si="35"/>
        <v>110814</v>
      </c>
      <c r="H50" s="31" t="s">
        <v>40</v>
      </c>
      <c r="I50" s="117">
        <v>16</v>
      </c>
      <c r="J50" s="29">
        <v>2000</v>
      </c>
      <c r="K50" s="12">
        <f t="shared" si="1"/>
        <v>125</v>
      </c>
      <c r="L50" s="117">
        <v>16</v>
      </c>
      <c r="M50" s="13">
        <f t="shared" ref="M50:M54" si="39">F50/V50*60</f>
        <v>1901.8421052631586</v>
      </c>
      <c r="N50" s="13">
        <f t="shared" si="3"/>
        <v>118.86513157894741</v>
      </c>
      <c r="O50" s="14">
        <f t="shared" si="4"/>
        <v>0</v>
      </c>
      <c r="P50" s="15">
        <f t="shared" si="5"/>
        <v>-6.1348684210525875</v>
      </c>
      <c r="Q50" s="110">
        <f t="shared" si="6"/>
        <v>0.95092105263157933</v>
      </c>
      <c r="R50" s="616"/>
      <c r="S50" s="32">
        <v>0.29305555555555557</v>
      </c>
      <c r="T50" s="32">
        <v>0.34583333333333333</v>
      </c>
      <c r="U50" s="111">
        <f t="shared" si="38"/>
        <v>4.9999999999999822</v>
      </c>
      <c r="V50" s="118">
        <f t="shared" si="37"/>
        <v>75.999999999999972</v>
      </c>
      <c r="W50" s="16"/>
      <c r="X50" s="16"/>
      <c r="Y50" s="19"/>
      <c r="Z50" s="19"/>
      <c r="AA50" s="612"/>
      <c r="AB50" s="612"/>
      <c r="AC50" s="136"/>
      <c r="AD50" s="18"/>
      <c r="AE50" s="14">
        <f t="shared" si="8"/>
        <v>-98.157894736841399</v>
      </c>
      <c r="AF50" s="110">
        <f t="shared" si="9"/>
        <v>0.95092105263157933</v>
      </c>
      <c r="AG50" s="616"/>
    </row>
    <row r="51" spans="1:33" ht="15.75" customHeight="1">
      <c r="A51" s="621" t="s">
        <v>284</v>
      </c>
      <c r="B51" s="27" t="s">
        <v>8</v>
      </c>
      <c r="C51" s="113" t="s">
        <v>79</v>
      </c>
      <c r="D51" s="114"/>
      <c r="E51" s="27">
        <v>46</v>
      </c>
      <c r="F51" s="30">
        <v>3379</v>
      </c>
      <c r="G51" s="111">
        <f t="shared" si="35"/>
        <v>155434</v>
      </c>
      <c r="H51" s="31" t="s">
        <v>40</v>
      </c>
      <c r="I51" s="117">
        <v>17</v>
      </c>
      <c r="J51" s="29">
        <v>2000</v>
      </c>
      <c r="K51" s="12">
        <f t="shared" si="1"/>
        <v>117.64705882352941</v>
      </c>
      <c r="L51" s="117">
        <v>17</v>
      </c>
      <c r="M51" s="13">
        <f t="shared" si="39"/>
        <v>1912.6415094339616</v>
      </c>
      <c r="N51" s="13">
        <f t="shared" si="3"/>
        <v>112.50832408435068</v>
      </c>
      <c r="O51" s="14">
        <f t="shared" si="4"/>
        <v>0</v>
      </c>
      <c r="P51" s="15">
        <f t="shared" si="5"/>
        <v>-5.1387347391787301</v>
      </c>
      <c r="Q51" s="110">
        <f t="shared" si="6"/>
        <v>0.95632075471698075</v>
      </c>
      <c r="R51" s="616"/>
      <c r="S51" s="32">
        <v>0.35069444444444442</v>
      </c>
      <c r="T51" s="32">
        <v>0.42430555555555555</v>
      </c>
      <c r="U51" s="111">
        <f t="shared" si="38"/>
        <v>6.9999999999999751</v>
      </c>
      <c r="V51" s="118">
        <f t="shared" si="37"/>
        <v>106.00000000000003</v>
      </c>
      <c r="W51" s="16"/>
      <c r="X51" s="16"/>
      <c r="Y51" s="19"/>
      <c r="Z51" s="19"/>
      <c r="AA51" s="612"/>
      <c r="AB51" s="612"/>
      <c r="AC51" s="136"/>
      <c r="AD51" s="18"/>
      <c r="AE51" s="14">
        <f t="shared" si="8"/>
        <v>-87.358490566038427</v>
      </c>
      <c r="AF51" s="110">
        <f t="shared" si="9"/>
        <v>0.95632075471698075</v>
      </c>
      <c r="AG51" s="616"/>
    </row>
    <row r="52" spans="1:33" ht="15.75" customHeight="1">
      <c r="A52" s="621" t="s">
        <v>284</v>
      </c>
      <c r="B52" s="27" t="s">
        <v>5</v>
      </c>
      <c r="C52" s="113" t="s">
        <v>32</v>
      </c>
      <c r="D52" s="114"/>
      <c r="E52" s="27">
        <v>55.56</v>
      </c>
      <c r="F52" s="30">
        <v>1857</v>
      </c>
      <c r="G52" s="111">
        <f t="shared" si="35"/>
        <v>103174.92</v>
      </c>
      <c r="H52" s="31" t="s">
        <v>40</v>
      </c>
      <c r="I52" s="117">
        <v>17</v>
      </c>
      <c r="J52" s="29">
        <v>2000</v>
      </c>
      <c r="K52" s="12">
        <f t="shared" si="1"/>
        <v>117.64705882352941</v>
      </c>
      <c r="L52" s="117">
        <v>17</v>
      </c>
      <c r="M52" s="13">
        <f t="shared" si="39"/>
        <v>1921.0344827586223</v>
      </c>
      <c r="N52" s="13">
        <f t="shared" si="3"/>
        <v>113.00202839756602</v>
      </c>
      <c r="O52" s="14">
        <f t="shared" si="4"/>
        <v>0</v>
      </c>
      <c r="P52" s="15">
        <f t="shared" si="5"/>
        <v>-4.6450304259633839</v>
      </c>
      <c r="Q52" s="110">
        <f t="shared" si="6"/>
        <v>0.96051724137931127</v>
      </c>
      <c r="R52" s="616"/>
      <c r="S52" s="32">
        <v>0.70833333333333337</v>
      </c>
      <c r="T52" s="32">
        <v>0.74861111111111112</v>
      </c>
      <c r="U52" s="111" t="str">
        <f t="shared" si="38"/>
        <v/>
      </c>
      <c r="V52" s="118">
        <f t="shared" si="37"/>
        <v>57.999999999999957</v>
      </c>
      <c r="W52" s="16"/>
      <c r="X52" s="16"/>
      <c r="Y52" s="19"/>
      <c r="Z52" s="19"/>
      <c r="AA52" s="612"/>
      <c r="AB52" s="612"/>
      <c r="AC52" s="136"/>
      <c r="AD52" s="18"/>
      <c r="AE52" s="14">
        <f t="shared" si="8"/>
        <v>-78.965517241377711</v>
      </c>
      <c r="AF52" s="110">
        <f t="shared" si="9"/>
        <v>0.96051724137931116</v>
      </c>
      <c r="AG52" s="616"/>
    </row>
    <row r="53" spans="1:33" ht="15.75" customHeight="1">
      <c r="A53" s="621" t="s">
        <v>284</v>
      </c>
      <c r="B53" s="27" t="s">
        <v>5</v>
      </c>
      <c r="C53" s="605" t="s">
        <v>77</v>
      </c>
      <c r="D53" s="606"/>
      <c r="E53" s="27">
        <v>54.09</v>
      </c>
      <c r="F53" s="30">
        <v>1229</v>
      </c>
      <c r="G53" s="111">
        <f t="shared" si="35"/>
        <v>66476.61</v>
      </c>
      <c r="H53" s="31" t="s">
        <v>40</v>
      </c>
      <c r="I53" s="117">
        <v>13</v>
      </c>
      <c r="J53" s="29">
        <v>2000</v>
      </c>
      <c r="K53" s="12">
        <f t="shared" si="1"/>
        <v>153.84615384615384</v>
      </c>
      <c r="L53" s="117">
        <v>13</v>
      </c>
      <c r="M53" s="13">
        <f t="shared" si="39"/>
        <v>1940.5263157894722</v>
      </c>
      <c r="N53" s="13">
        <f t="shared" si="3"/>
        <v>149.27125506072863</v>
      </c>
      <c r="O53" s="14">
        <f t="shared" si="4"/>
        <v>0</v>
      </c>
      <c r="P53" s="15">
        <f t="shared" si="5"/>
        <v>-4.574898785425205</v>
      </c>
      <c r="Q53" s="110">
        <f t="shared" si="6"/>
        <v>0.97026315789473616</v>
      </c>
      <c r="R53" s="616"/>
      <c r="S53" s="32">
        <v>0.75416666666666665</v>
      </c>
      <c r="T53" s="32">
        <v>0.78055555555555556</v>
      </c>
      <c r="U53" s="111">
        <f t="shared" si="38"/>
        <v>7.9999999999999716</v>
      </c>
      <c r="V53" s="118">
        <f t="shared" si="37"/>
        <v>38.000000000000028</v>
      </c>
      <c r="W53" s="16"/>
      <c r="X53" s="16"/>
      <c r="Y53" s="19"/>
      <c r="Z53" s="19"/>
      <c r="AA53" s="607"/>
      <c r="AB53" s="608"/>
      <c r="AC53" s="136"/>
      <c r="AD53" s="18"/>
      <c r="AE53" s="14">
        <f t="shared" si="8"/>
        <v>-59.473684210527836</v>
      </c>
      <c r="AF53" s="110">
        <f t="shared" si="9"/>
        <v>0.97026315789473605</v>
      </c>
      <c r="AG53" s="616"/>
    </row>
    <row r="54" spans="1:33" ht="15.75" customHeight="1">
      <c r="A54" s="621" t="s">
        <v>284</v>
      </c>
      <c r="B54" s="27" t="s">
        <v>5</v>
      </c>
      <c r="C54" s="605" t="s">
        <v>65</v>
      </c>
      <c r="D54" s="606"/>
      <c r="E54" s="27">
        <v>56.43</v>
      </c>
      <c r="F54" s="30">
        <v>1205</v>
      </c>
      <c r="G54" s="111">
        <f t="shared" si="35"/>
        <v>67998.149999999994</v>
      </c>
      <c r="H54" s="31" t="s">
        <v>40</v>
      </c>
      <c r="I54" s="117">
        <v>13</v>
      </c>
      <c r="J54" s="29">
        <v>2000</v>
      </c>
      <c r="K54" s="12">
        <f t="shared" si="1"/>
        <v>153.84615384615384</v>
      </c>
      <c r="L54" s="117">
        <v>13</v>
      </c>
      <c r="M54" s="13">
        <f t="shared" si="39"/>
        <v>1902.631578947367</v>
      </c>
      <c r="N54" s="13">
        <f t="shared" si="3"/>
        <v>146.3562753036436</v>
      </c>
      <c r="O54" s="14">
        <f t="shared" si="4"/>
        <v>0</v>
      </c>
      <c r="P54" s="15">
        <f t="shared" si="5"/>
        <v>-7.4898785425102403</v>
      </c>
      <c r="Q54" s="110">
        <f t="shared" si="6"/>
        <v>0.95131578947368345</v>
      </c>
      <c r="R54" s="616"/>
      <c r="S54" s="32">
        <v>0.78402777777777777</v>
      </c>
      <c r="T54" s="32">
        <v>0.81041666666666667</v>
      </c>
      <c r="U54" s="111">
        <f t="shared" si="38"/>
        <v>4.9999999999999822</v>
      </c>
      <c r="V54" s="118">
        <f t="shared" si="37"/>
        <v>38.000000000000028</v>
      </c>
      <c r="W54" s="16"/>
      <c r="X54" s="16"/>
      <c r="Y54" s="19"/>
      <c r="Z54" s="19"/>
      <c r="AA54" s="607"/>
      <c r="AB54" s="608"/>
      <c r="AC54" s="136"/>
      <c r="AD54" s="18"/>
      <c r="AE54" s="14">
        <f t="shared" si="8"/>
        <v>-97.368421052633039</v>
      </c>
      <c r="AF54" s="110">
        <f t="shared" si="9"/>
        <v>0.95131578947368345</v>
      </c>
      <c r="AG54" s="616"/>
    </row>
    <row r="55" spans="1:33">
      <c r="A55" s="622" t="s">
        <v>284</v>
      </c>
      <c r="B55" s="27" t="s">
        <v>275</v>
      </c>
      <c r="C55" s="658"/>
      <c r="D55" s="658"/>
      <c r="E55" s="112"/>
      <c r="F55" s="28"/>
      <c r="G55" s="12"/>
      <c r="H55" s="119"/>
      <c r="I55" s="21">
        <v>16.714285714285715</v>
      </c>
      <c r="J55" s="29">
        <v>2000</v>
      </c>
      <c r="K55" s="12">
        <f t="shared" si="1"/>
        <v>119.65811965811965</v>
      </c>
      <c r="L55" s="21">
        <v>16.714285714285715</v>
      </c>
      <c r="M55" s="13">
        <f>AVERAGE(M48:M54)</f>
        <v>1913.1884070479196</v>
      </c>
      <c r="N55" s="12">
        <f t="shared" si="3"/>
        <v>114.46426366953364</v>
      </c>
      <c r="O55" s="14">
        <f t="shared" si="4"/>
        <v>0</v>
      </c>
      <c r="P55" s="15">
        <f t="shared" si="5"/>
        <v>-5.1938559885860087</v>
      </c>
      <c r="Q55" s="110">
        <f t="shared" si="6"/>
        <v>0.95659420352395974</v>
      </c>
      <c r="R55" s="616"/>
      <c r="S55" s="32"/>
      <c r="T55" s="32"/>
      <c r="U55" s="111"/>
      <c r="V55" s="118"/>
      <c r="W55" s="12"/>
      <c r="X55" s="12"/>
      <c r="Y55" s="22">
        <f>SUM(Y48:Y54)</f>
        <v>0</v>
      </c>
      <c r="Z55" s="22">
        <f>SUM(Z48:Z54)</f>
        <v>0</v>
      </c>
      <c r="AA55" s="611"/>
      <c r="AB55" s="611"/>
      <c r="AC55" s="22">
        <v>7</v>
      </c>
      <c r="AD55" s="22">
        <f>SUM(AD48:AD54)</f>
        <v>0</v>
      </c>
      <c r="AE55" s="14">
        <f>M55-J55</f>
        <v>-86.811592952080446</v>
      </c>
      <c r="AF55" s="110">
        <f t="shared" si="9"/>
        <v>0.95659420352395974</v>
      </c>
      <c r="AG55" s="616"/>
    </row>
    <row r="56" spans="1:33" ht="15.75" customHeight="1">
      <c r="A56" s="617" t="s">
        <v>285</v>
      </c>
      <c r="B56" s="119" t="s">
        <v>27</v>
      </c>
      <c r="C56" s="660" t="s">
        <v>28</v>
      </c>
      <c r="D56" s="660"/>
      <c r="E56" s="27">
        <v>35.119999999999997</v>
      </c>
      <c r="F56" s="30">
        <v>5308</v>
      </c>
      <c r="G56" s="111">
        <f t="shared" ref="G56:G59" si="40">E56*F56</f>
        <v>186416.96</v>
      </c>
      <c r="H56" s="31" t="s">
        <v>40</v>
      </c>
      <c r="I56" s="117">
        <v>10</v>
      </c>
      <c r="J56" s="29">
        <v>3000</v>
      </c>
      <c r="K56" s="12">
        <f t="shared" si="1"/>
        <v>300</v>
      </c>
      <c r="L56" s="117">
        <v>10</v>
      </c>
      <c r="M56" s="13">
        <f t="shared" ref="M56:M59" si="41">F56/V56*60</f>
        <v>2869.1891891891901</v>
      </c>
      <c r="N56" s="12">
        <f t="shared" si="3"/>
        <v>286.91891891891902</v>
      </c>
      <c r="O56" s="14">
        <f t="shared" si="4"/>
        <v>0</v>
      </c>
      <c r="P56" s="15">
        <f t="shared" si="5"/>
        <v>-13.081081081080981</v>
      </c>
      <c r="Q56" s="110">
        <f t="shared" si="6"/>
        <v>0.95639639639639673</v>
      </c>
      <c r="R56" s="616">
        <f>Q60</f>
        <v>0.95481867581867597</v>
      </c>
      <c r="S56" s="32">
        <v>0.20833333333333334</v>
      </c>
      <c r="T56" s="32">
        <v>0.28541666666666665</v>
      </c>
      <c r="U56" s="111"/>
      <c r="V56" s="118">
        <f t="shared" ref="V56:V59" si="42">(T56-S56)*24*60</f>
        <v>110.99999999999997</v>
      </c>
      <c r="W56" s="16"/>
      <c r="X56" s="16"/>
      <c r="Y56" s="20"/>
      <c r="Z56" s="20"/>
      <c r="AA56" s="612"/>
      <c r="AB56" s="612"/>
      <c r="AC56" s="136">
        <v>4</v>
      </c>
      <c r="AD56" s="18"/>
      <c r="AE56" s="14">
        <f t="shared" ref="AE56:AE66" si="43">M56-J56</f>
        <v>-130.81081081080993</v>
      </c>
      <c r="AF56" s="110">
        <f t="shared" si="9"/>
        <v>0.95639639639639673</v>
      </c>
      <c r="AG56" s="616">
        <f>AF60</f>
        <v>0.95481867581867608</v>
      </c>
    </row>
    <row r="57" spans="1:33" ht="15.75" customHeight="1">
      <c r="A57" s="617" t="s">
        <v>285</v>
      </c>
      <c r="B57" s="119" t="s">
        <v>27</v>
      </c>
      <c r="C57" s="660" t="s">
        <v>34</v>
      </c>
      <c r="D57" s="660"/>
      <c r="E57" s="27">
        <v>26.78</v>
      </c>
      <c r="F57" s="30">
        <v>2572</v>
      </c>
      <c r="G57" s="111">
        <f t="shared" si="40"/>
        <v>68878.16</v>
      </c>
      <c r="H57" s="31" t="s">
        <v>40</v>
      </c>
      <c r="I57" s="117">
        <v>10</v>
      </c>
      <c r="J57" s="29">
        <v>3000</v>
      </c>
      <c r="K57" s="12">
        <f t="shared" si="1"/>
        <v>300</v>
      </c>
      <c r="L57" s="117">
        <v>10</v>
      </c>
      <c r="M57" s="13">
        <f t="shared" si="41"/>
        <v>2857.7777777777792</v>
      </c>
      <c r="N57" s="12">
        <f t="shared" si="3"/>
        <v>285.77777777777794</v>
      </c>
      <c r="O57" s="14">
        <f t="shared" si="4"/>
        <v>0</v>
      </c>
      <c r="P57" s="15">
        <f t="shared" si="5"/>
        <v>-14.222222222222058</v>
      </c>
      <c r="Q57" s="110">
        <f t="shared" si="6"/>
        <v>0.9525925925925931</v>
      </c>
      <c r="R57" s="616"/>
      <c r="S57" s="32">
        <v>0.29027777777777775</v>
      </c>
      <c r="T57" s="32">
        <v>0.32777777777777772</v>
      </c>
      <c r="U57" s="111">
        <f t="shared" ref="U57:U59" si="44">(S57-T56)*24*60</f>
        <v>6.9999999999999751</v>
      </c>
      <c r="V57" s="118">
        <f t="shared" si="42"/>
        <v>53.999999999999972</v>
      </c>
      <c r="W57" s="111"/>
      <c r="X57" s="111"/>
      <c r="Y57" s="111"/>
      <c r="Z57" s="111"/>
      <c r="AA57" s="612"/>
      <c r="AB57" s="612"/>
      <c r="AC57" s="136"/>
      <c r="AD57" s="18"/>
      <c r="AE57" s="14">
        <f t="shared" si="43"/>
        <v>-142.22222222222081</v>
      </c>
      <c r="AF57" s="110">
        <f t="shared" si="9"/>
        <v>0.9525925925925931</v>
      </c>
      <c r="AG57" s="616"/>
    </row>
    <row r="58" spans="1:33" ht="15.75" customHeight="1">
      <c r="A58" s="617" t="s">
        <v>285</v>
      </c>
      <c r="B58" s="119" t="s">
        <v>27</v>
      </c>
      <c r="C58" s="660" t="s">
        <v>35</v>
      </c>
      <c r="D58" s="660"/>
      <c r="E58" s="27">
        <v>35.869999999999997</v>
      </c>
      <c r="F58" s="30">
        <v>3333</v>
      </c>
      <c r="G58" s="111">
        <f t="shared" si="40"/>
        <v>119554.70999999999</v>
      </c>
      <c r="H58" s="31" t="s">
        <v>40</v>
      </c>
      <c r="I58" s="117">
        <v>9</v>
      </c>
      <c r="J58" s="29">
        <v>3000</v>
      </c>
      <c r="K58" s="12">
        <f t="shared" si="1"/>
        <v>333.33333333333331</v>
      </c>
      <c r="L58" s="117">
        <v>9</v>
      </c>
      <c r="M58" s="13">
        <f t="shared" si="41"/>
        <v>2856.8571428571431</v>
      </c>
      <c r="N58" s="12">
        <f t="shared" si="3"/>
        <v>317.42857142857144</v>
      </c>
      <c r="O58" s="14">
        <f t="shared" si="4"/>
        <v>0</v>
      </c>
      <c r="P58" s="15">
        <f t="shared" si="5"/>
        <v>-15.90476190476187</v>
      </c>
      <c r="Q58" s="110">
        <f t="shared" si="6"/>
        <v>0.9522857142857144</v>
      </c>
      <c r="R58" s="616"/>
      <c r="S58" s="32">
        <v>0.33124999999999993</v>
      </c>
      <c r="T58" s="32">
        <v>0.37986111111111104</v>
      </c>
      <c r="U58" s="111">
        <f t="shared" si="44"/>
        <v>4.9999999999999822</v>
      </c>
      <c r="V58" s="118">
        <f t="shared" si="42"/>
        <v>69.999999999999986</v>
      </c>
      <c r="W58" s="111"/>
      <c r="X58" s="111"/>
      <c r="Y58" s="111"/>
      <c r="Z58" s="111"/>
      <c r="AA58" s="612"/>
      <c r="AB58" s="612"/>
      <c r="AC58" s="136"/>
      <c r="AD58" s="18"/>
      <c r="AE58" s="14">
        <f t="shared" si="43"/>
        <v>-143.14285714285688</v>
      </c>
      <c r="AF58" s="110">
        <f t="shared" si="9"/>
        <v>0.9522857142857144</v>
      </c>
      <c r="AG58" s="616"/>
    </row>
    <row r="59" spans="1:33" ht="15.75" customHeight="1">
      <c r="A59" s="617" t="s">
        <v>285</v>
      </c>
      <c r="B59" s="119" t="s">
        <v>27</v>
      </c>
      <c r="C59" s="660" t="s">
        <v>36</v>
      </c>
      <c r="D59" s="660"/>
      <c r="E59" s="27">
        <v>34.35</v>
      </c>
      <c r="F59" s="30">
        <v>1916</v>
      </c>
      <c r="G59" s="111">
        <f t="shared" si="40"/>
        <v>65814.600000000006</v>
      </c>
      <c r="H59" s="31" t="s">
        <v>40</v>
      </c>
      <c r="I59" s="117">
        <v>8</v>
      </c>
      <c r="J59" s="29">
        <v>3000</v>
      </c>
      <c r="K59" s="12">
        <f t="shared" si="1"/>
        <v>375</v>
      </c>
      <c r="L59" s="117">
        <v>8</v>
      </c>
      <c r="M59" s="13">
        <f t="shared" si="41"/>
        <v>2873.9999999999991</v>
      </c>
      <c r="N59" s="12">
        <f t="shared" si="3"/>
        <v>359.24999999999989</v>
      </c>
      <c r="O59" s="14">
        <f t="shared" si="4"/>
        <v>0</v>
      </c>
      <c r="P59" s="15">
        <f t="shared" si="5"/>
        <v>-15.750000000000114</v>
      </c>
      <c r="Q59" s="110">
        <f t="shared" si="6"/>
        <v>0.95799999999999974</v>
      </c>
      <c r="R59" s="616"/>
      <c r="S59" s="32">
        <v>0.38402777777777769</v>
      </c>
      <c r="T59" s="32">
        <v>0.41180555555555548</v>
      </c>
      <c r="U59" s="111">
        <f t="shared" si="44"/>
        <v>5.9999999999999787</v>
      </c>
      <c r="V59" s="118">
        <f t="shared" si="42"/>
        <v>40.000000000000014</v>
      </c>
      <c r="W59" s="111"/>
      <c r="X59" s="111"/>
      <c r="Y59" s="111"/>
      <c r="Z59" s="111"/>
      <c r="AA59" s="612"/>
      <c r="AB59" s="612"/>
      <c r="AC59" s="136"/>
      <c r="AD59" s="18"/>
      <c r="AE59" s="14">
        <f t="shared" si="43"/>
        <v>-126.00000000000091</v>
      </c>
      <c r="AF59" s="110">
        <f t="shared" si="9"/>
        <v>0.95799999999999974</v>
      </c>
      <c r="AG59" s="616"/>
    </row>
    <row r="60" spans="1:33">
      <c r="A60" s="618" t="s">
        <v>285</v>
      </c>
      <c r="B60" s="27" t="s">
        <v>275</v>
      </c>
      <c r="C60" s="658"/>
      <c r="D60" s="658"/>
      <c r="E60" s="112"/>
      <c r="F60" s="28"/>
      <c r="G60" s="12"/>
      <c r="H60" s="119"/>
      <c r="I60" s="21">
        <v>9.25</v>
      </c>
      <c r="J60" s="29">
        <v>3000</v>
      </c>
      <c r="K60" s="12">
        <f t="shared" si="1"/>
        <v>324.32432432432432</v>
      </c>
      <c r="L60" s="21">
        <v>9.25</v>
      </c>
      <c r="M60" s="13">
        <f>AVERAGE(M56:M59)</f>
        <v>2864.4560274560281</v>
      </c>
      <c r="N60" s="12">
        <f t="shared" si="3"/>
        <v>309.67092188713815</v>
      </c>
      <c r="O60" s="14">
        <f t="shared" si="4"/>
        <v>0</v>
      </c>
      <c r="P60" s="15">
        <f t="shared" si="5"/>
        <v>-14.653402437186173</v>
      </c>
      <c r="Q60" s="110">
        <f t="shared" si="6"/>
        <v>0.95481867581867597</v>
      </c>
      <c r="R60" s="616"/>
      <c r="S60" s="32"/>
      <c r="T60" s="32"/>
      <c r="U60" s="12"/>
      <c r="V60" s="118"/>
      <c r="W60" s="12"/>
      <c r="X60" s="12"/>
      <c r="Y60" s="22">
        <f>SUM(Y56:Y59)</f>
        <v>0</v>
      </c>
      <c r="Z60" s="22">
        <f>SUM(Z56:Z59)</f>
        <v>0</v>
      </c>
      <c r="AA60" s="611"/>
      <c r="AB60" s="611"/>
      <c r="AC60" s="22">
        <v>4</v>
      </c>
      <c r="AD60" s="22">
        <f>SUM(AD56:AD59)</f>
        <v>0</v>
      </c>
      <c r="AE60" s="14">
        <f t="shared" si="43"/>
        <v>-135.5439725439719</v>
      </c>
      <c r="AF60" s="110">
        <f t="shared" si="9"/>
        <v>0.95481867581867608</v>
      </c>
      <c r="AG60" s="616"/>
    </row>
    <row r="61" spans="1:33" ht="15.75" customHeight="1">
      <c r="A61" s="613" t="s">
        <v>286</v>
      </c>
      <c r="B61" s="119" t="s">
        <v>20</v>
      </c>
      <c r="C61" s="660" t="s">
        <v>39</v>
      </c>
      <c r="D61" s="660"/>
      <c r="E61" s="27">
        <v>19.02</v>
      </c>
      <c r="F61" s="119">
        <v>8430</v>
      </c>
      <c r="G61" s="111">
        <f t="shared" ref="G61:G65" si="45">E61*F61</f>
        <v>160338.6</v>
      </c>
      <c r="H61" s="31" t="s">
        <v>40</v>
      </c>
      <c r="I61" s="117">
        <v>14</v>
      </c>
      <c r="J61" s="29">
        <v>2400</v>
      </c>
      <c r="K61" s="12">
        <f t="shared" si="1"/>
        <v>171.42857142857142</v>
      </c>
      <c r="L61" s="117">
        <v>14</v>
      </c>
      <c r="M61" s="13">
        <f t="shared" ref="M61:M65" si="46">F61/V61*60</f>
        <v>2288.6877828054298</v>
      </c>
      <c r="N61" s="12">
        <f t="shared" si="3"/>
        <v>163.47769877181642</v>
      </c>
      <c r="O61" s="14">
        <f t="shared" si="4"/>
        <v>0</v>
      </c>
      <c r="P61" s="15">
        <f t="shared" si="5"/>
        <v>-7.9508726567549957</v>
      </c>
      <c r="Q61" s="110">
        <f t="shared" si="6"/>
        <v>0.9536199095022625</v>
      </c>
      <c r="R61" s="616">
        <f>Q66</f>
        <v>0.95904377502733762</v>
      </c>
      <c r="S61" s="32">
        <v>8.3333333333333329E-2</v>
      </c>
      <c r="T61" s="32">
        <v>0.23680555555555555</v>
      </c>
      <c r="U61" s="20"/>
      <c r="V61" s="118">
        <f t="shared" ref="V61:V65" si="47">(T61-S61)*24*60</f>
        <v>221</v>
      </c>
      <c r="W61" s="16">
        <f>T61</f>
        <v>0.23680555555555555</v>
      </c>
      <c r="X61" s="16">
        <f>S62</f>
        <v>0.25624999999999998</v>
      </c>
      <c r="Y61" s="16"/>
      <c r="Z61" s="16"/>
      <c r="AA61" s="612"/>
      <c r="AB61" s="612"/>
      <c r="AC61" s="136">
        <v>5</v>
      </c>
      <c r="AD61" s="18"/>
      <c r="AE61" s="14">
        <f t="shared" si="43"/>
        <v>-111.31221719457017</v>
      </c>
      <c r="AF61" s="110">
        <f t="shared" si="9"/>
        <v>0.95361990950226239</v>
      </c>
      <c r="AG61" s="616">
        <f>AF66</f>
        <v>0.95904377502733762</v>
      </c>
    </row>
    <row r="62" spans="1:33" ht="15.75" customHeight="1">
      <c r="A62" s="614" t="s">
        <v>286</v>
      </c>
      <c r="B62" s="119" t="s">
        <v>20</v>
      </c>
      <c r="C62" s="660" t="s">
        <v>24</v>
      </c>
      <c r="D62" s="660"/>
      <c r="E62" s="27">
        <v>20.36</v>
      </c>
      <c r="F62" s="119">
        <v>4362</v>
      </c>
      <c r="G62" s="111">
        <f t="shared" si="45"/>
        <v>88810.319999999992</v>
      </c>
      <c r="H62" s="31" t="s">
        <v>40</v>
      </c>
      <c r="I62" s="117">
        <v>17</v>
      </c>
      <c r="J62" s="29">
        <v>2400</v>
      </c>
      <c r="K62" s="12">
        <f t="shared" si="1"/>
        <v>141.1764705882353</v>
      </c>
      <c r="L62" s="117">
        <v>17</v>
      </c>
      <c r="M62" s="13">
        <f t="shared" si="46"/>
        <v>2295.7894736842104</v>
      </c>
      <c r="N62" s="12">
        <f t="shared" si="3"/>
        <v>135.04643962848297</v>
      </c>
      <c r="O62" s="14">
        <f t="shared" si="4"/>
        <v>0</v>
      </c>
      <c r="P62" s="15">
        <f t="shared" si="5"/>
        <v>-6.1300309597523324</v>
      </c>
      <c r="Q62" s="110">
        <f t="shared" si="6"/>
        <v>0.95657894736842097</v>
      </c>
      <c r="R62" s="616"/>
      <c r="S62" s="32">
        <v>0.25624999999999998</v>
      </c>
      <c r="T62" s="32">
        <v>0.33541666666666664</v>
      </c>
      <c r="U62" s="111">
        <f t="shared" ref="U62:U65" si="48">(S62-T61)*24*60</f>
        <v>27.999999999999979</v>
      </c>
      <c r="V62" s="118">
        <f t="shared" si="47"/>
        <v>114</v>
      </c>
      <c r="W62" s="16"/>
      <c r="X62" s="16"/>
      <c r="Y62" s="16"/>
      <c r="Z62" s="16"/>
      <c r="AA62" s="612"/>
      <c r="AB62" s="612"/>
      <c r="AC62" s="136"/>
      <c r="AD62" s="18"/>
      <c r="AE62" s="14">
        <f t="shared" si="43"/>
        <v>-104.21052631578959</v>
      </c>
      <c r="AF62" s="110">
        <f t="shared" si="9"/>
        <v>0.95657894736842097</v>
      </c>
      <c r="AG62" s="616"/>
    </row>
    <row r="63" spans="1:33" ht="15.75" customHeight="1">
      <c r="A63" s="614" t="s">
        <v>286</v>
      </c>
      <c r="B63" s="119" t="s">
        <v>20</v>
      </c>
      <c r="C63" s="660" t="s">
        <v>59</v>
      </c>
      <c r="D63" s="660"/>
      <c r="E63" s="27">
        <v>25.99</v>
      </c>
      <c r="F63" s="119">
        <v>1633</v>
      </c>
      <c r="G63" s="111">
        <f t="shared" si="45"/>
        <v>42441.67</v>
      </c>
      <c r="H63" s="31" t="s">
        <v>40</v>
      </c>
      <c r="I63" s="117">
        <v>18</v>
      </c>
      <c r="J63" s="29">
        <v>2400</v>
      </c>
      <c r="K63" s="12">
        <f t="shared" si="1"/>
        <v>133.33333333333334</v>
      </c>
      <c r="L63" s="117">
        <v>18</v>
      </c>
      <c r="M63" s="13">
        <f t="shared" si="46"/>
        <v>2332.8571428571418</v>
      </c>
      <c r="N63" s="12">
        <f t="shared" si="3"/>
        <v>129.60317460317455</v>
      </c>
      <c r="O63" s="14">
        <f t="shared" si="4"/>
        <v>0</v>
      </c>
      <c r="P63" s="15">
        <f t="shared" si="5"/>
        <v>-3.7301587301587915</v>
      </c>
      <c r="Q63" s="110">
        <f t="shared" si="6"/>
        <v>0.97202380952380907</v>
      </c>
      <c r="R63" s="616"/>
      <c r="S63" s="32">
        <v>0.33958333333333329</v>
      </c>
      <c r="T63" s="32">
        <v>0.36874999999999997</v>
      </c>
      <c r="U63" s="111">
        <f t="shared" si="48"/>
        <v>5.9999999999999787</v>
      </c>
      <c r="V63" s="118">
        <f t="shared" si="47"/>
        <v>42.000000000000014</v>
      </c>
      <c r="W63" s="16"/>
      <c r="X63" s="16"/>
      <c r="Y63" s="16"/>
      <c r="Z63" s="16"/>
      <c r="AA63" s="612"/>
      <c r="AB63" s="612"/>
      <c r="AC63" s="136"/>
      <c r="AD63" s="18"/>
      <c r="AE63" s="14">
        <f t="shared" si="43"/>
        <v>-67.142857142858247</v>
      </c>
      <c r="AF63" s="110">
        <f t="shared" si="9"/>
        <v>0.97202380952380907</v>
      </c>
      <c r="AG63" s="616"/>
    </row>
    <row r="64" spans="1:33" ht="15.75" customHeight="1">
      <c r="A64" s="614" t="s">
        <v>286</v>
      </c>
      <c r="B64" s="119" t="s">
        <v>20</v>
      </c>
      <c r="C64" s="660" t="s">
        <v>38</v>
      </c>
      <c r="D64" s="660"/>
      <c r="E64" s="27">
        <v>22.69</v>
      </c>
      <c r="F64" s="119">
        <v>2923</v>
      </c>
      <c r="G64" s="111">
        <f t="shared" si="45"/>
        <v>66322.87000000001</v>
      </c>
      <c r="H64" s="31" t="s">
        <v>40</v>
      </c>
      <c r="I64" s="117">
        <v>15</v>
      </c>
      <c r="J64" s="29">
        <v>2400</v>
      </c>
      <c r="K64" s="12">
        <f t="shared" si="1"/>
        <v>160</v>
      </c>
      <c r="L64" s="117">
        <v>15</v>
      </c>
      <c r="M64" s="13">
        <f t="shared" si="46"/>
        <v>2307.6315789473692</v>
      </c>
      <c r="N64" s="12">
        <f t="shared" si="3"/>
        <v>153.84210526315795</v>
      </c>
      <c r="O64" s="14">
        <f t="shared" si="4"/>
        <v>0</v>
      </c>
      <c r="P64" s="15">
        <f t="shared" si="5"/>
        <v>-6.1578947368420529</v>
      </c>
      <c r="Q64" s="110">
        <f t="shared" si="6"/>
        <v>0.96151315789473712</v>
      </c>
      <c r="R64" s="616"/>
      <c r="S64" s="32">
        <v>0.37291666666666662</v>
      </c>
      <c r="T64" s="32">
        <v>0.42569444444444438</v>
      </c>
      <c r="U64" s="111">
        <f t="shared" si="48"/>
        <v>5.9999999999999787</v>
      </c>
      <c r="V64" s="118">
        <f t="shared" si="47"/>
        <v>75.999999999999972</v>
      </c>
      <c r="W64" s="16"/>
      <c r="X64" s="16"/>
      <c r="Y64" s="16"/>
      <c r="Z64" s="16"/>
      <c r="AA64" s="612"/>
      <c r="AB64" s="612"/>
      <c r="AC64" s="136"/>
      <c r="AD64" s="18"/>
      <c r="AE64" s="14">
        <f t="shared" si="43"/>
        <v>-92.368421052630765</v>
      </c>
      <c r="AF64" s="110">
        <f t="shared" si="9"/>
        <v>0.96151315789473724</v>
      </c>
      <c r="AG64" s="616"/>
    </row>
    <row r="65" spans="1:33" ht="15.75" customHeight="1">
      <c r="A65" s="614" t="s">
        <v>286</v>
      </c>
      <c r="B65" s="119" t="s">
        <v>20</v>
      </c>
      <c r="C65" s="660" t="s">
        <v>80</v>
      </c>
      <c r="D65" s="660"/>
      <c r="E65" s="27">
        <v>25.98</v>
      </c>
      <c r="F65" s="119">
        <v>4491</v>
      </c>
      <c r="G65" s="111">
        <f t="shared" si="45"/>
        <v>116676.18000000001</v>
      </c>
      <c r="H65" s="31" t="s">
        <v>40</v>
      </c>
      <c r="I65" s="117">
        <v>17</v>
      </c>
      <c r="J65" s="29">
        <v>2400</v>
      </c>
      <c r="K65" s="12">
        <f t="shared" si="1"/>
        <v>141.1764705882353</v>
      </c>
      <c r="L65" s="117">
        <v>17</v>
      </c>
      <c r="M65" s="13">
        <f t="shared" si="46"/>
        <v>2283.5593220338974</v>
      </c>
      <c r="N65" s="12">
        <f t="shared" si="3"/>
        <v>134.32701894317043</v>
      </c>
      <c r="O65" s="14">
        <f t="shared" si="4"/>
        <v>0</v>
      </c>
      <c r="P65" s="15">
        <f t="shared" si="5"/>
        <v>-6.8494516450648746</v>
      </c>
      <c r="Q65" s="110">
        <f t="shared" si="6"/>
        <v>0.9514830508474571</v>
      </c>
      <c r="R65" s="616"/>
      <c r="S65" s="32">
        <v>0.42916666666666659</v>
      </c>
      <c r="T65" s="32">
        <v>0.51111111111111107</v>
      </c>
      <c r="U65" s="111">
        <f t="shared" si="48"/>
        <v>4.9999999999999822</v>
      </c>
      <c r="V65" s="118">
        <f t="shared" si="47"/>
        <v>118.00000000000006</v>
      </c>
      <c r="W65" s="16"/>
      <c r="X65" s="16"/>
      <c r="Y65" s="16"/>
      <c r="Z65" s="16"/>
      <c r="AA65" s="612"/>
      <c r="AB65" s="612"/>
      <c r="AC65" s="136"/>
      <c r="AD65" s="18"/>
      <c r="AE65" s="14">
        <f t="shared" si="43"/>
        <v>-116.44067796610261</v>
      </c>
      <c r="AF65" s="110">
        <f t="shared" si="9"/>
        <v>0.95148305084745721</v>
      </c>
      <c r="AG65" s="616"/>
    </row>
    <row r="66" spans="1:33" ht="16.5" customHeight="1">
      <c r="A66" s="615" t="s">
        <v>286</v>
      </c>
      <c r="B66" s="27" t="s">
        <v>275</v>
      </c>
      <c r="C66" s="609"/>
      <c r="D66" s="610"/>
      <c r="E66" s="112"/>
      <c r="F66" s="28"/>
      <c r="G66" s="12"/>
      <c r="H66" s="119"/>
      <c r="I66" s="21">
        <v>16.2</v>
      </c>
      <c r="J66" s="29">
        <v>2400</v>
      </c>
      <c r="K66" s="12">
        <f t="shared" si="1"/>
        <v>148.14814814814815</v>
      </c>
      <c r="L66" s="21">
        <v>16.2</v>
      </c>
      <c r="M66" s="13">
        <f>AVERAGE(M61:M65)</f>
        <v>2301.7050600656103</v>
      </c>
      <c r="N66" s="12">
        <f t="shared" si="3"/>
        <v>142.08055926330928</v>
      </c>
      <c r="O66" s="14">
        <f t="shared" si="4"/>
        <v>0</v>
      </c>
      <c r="P66" s="15">
        <f t="shared" si="5"/>
        <v>-6.0675888848388695</v>
      </c>
      <c r="Q66" s="110">
        <f t="shared" si="6"/>
        <v>0.95904377502733762</v>
      </c>
      <c r="R66" s="616"/>
      <c r="S66" s="32"/>
      <c r="T66" s="32"/>
      <c r="U66" s="12"/>
      <c r="V66" s="118"/>
      <c r="W66" s="12"/>
      <c r="X66" s="12"/>
      <c r="Y66" s="22">
        <f>SUM(Y61:Y65)</f>
        <v>0</v>
      </c>
      <c r="Z66" s="22">
        <f>SUM(Z61:Z65)</f>
        <v>0</v>
      </c>
      <c r="AA66" s="611"/>
      <c r="AB66" s="611"/>
      <c r="AC66" s="22">
        <v>5</v>
      </c>
      <c r="AD66" s="22">
        <f>SUM(AD61:AD65)</f>
        <v>0</v>
      </c>
      <c r="AE66" s="14">
        <f t="shared" si="43"/>
        <v>-98.294939934389731</v>
      </c>
      <c r="AF66" s="110">
        <f t="shared" si="9"/>
        <v>0.95904377502733762</v>
      </c>
      <c r="AG66" s="616"/>
    </row>
    <row r="67" spans="1:33">
      <c r="D67" s="23"/>
      <c r="E67" s="23"/>
    </row>
  </sheetData>
  <mergeCells count="181"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6"/>
    <mergeCell ref="C61:D61"/>
    <mergeCell ref="R61:R66"/>
    <mergeCell ref="AA61:AB61"/>
    <mergeCell ref="AA66:AB66"/>
    <mergeCell ref="A56:A60"/>
    <mergeCell ref="C56:D56"/>
    <mergeCell ref="R56:R60"/>
    <mergeCell ref="AA56:AB56"/>
    <mergeCell ref="AG56:AG60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42:D42"/>
    <mergeCell ref="AA42:AB42"/>
    <mergeCell ref="C43:D43"/>
    <mergeCell ref="AA43:AB43"/>
    <mergeCell ref="AG36:AG43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36:A43"/>
    <mergeCell ref="C36:D36"/>
    <mergeCell ref="R36:R43"/>
    <mergeCell ref="AA36:AB36"/>
    <mergeCell ref="C37:D37"/>
    <mergeCell ref="AA37:AB37"/>
    <mergeCell ref="C38:D38"/>
    <mergeCell ref="AA38:AB38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5:O56 O59:O66 O5:O8 O12:O14 O20:O53">
    <cfRule type="cellIs" dxfId="183" priority="46" operator="greaterThan">
      <formula>0</formula>
    </cfRule>
  </conditionalFormatting>
  <conditionalFormatting sqref="P5:P6 P59 AE59 P61:P65 P28:P34 P56 P8 P12:P14 P48:P53 P21:P26 P36:P46 AE5:AE56 AE61:AE66">
    <cfRule type="cellIs" dxfId="182" priority="50" operator="lessThan">
      <formula>0</formula>
    </cfRule>
  </conditionalFormatting>
  <conditionalFormatting sqref="AF59 Q55:Q56 Q59:Q66 Q5:Q8 Q12:Q14 Q20:Q53 AF5:AF56 AF61:AF66">
    <cfRule type="cellIs" dxfId="181" priority="47" operator="greaterThan">
      <formula>1</formula>
    </cfRule>
    <cfRule type="cellIs" dxfId="180" priority="48" operator="lessThan">
      <formula>0.8</formula>
    </cfRule>
  </conditionalFormatting>
  <conditionalFormatting sqref="AG13:AG14 R13:R14 AG59 AG55:AG56 R55:R56 R59:R66 AG5:AG8 R5:R8 AG20:AG53 R20:R53">
    <cfRule type="cellIs" dxfId="179" priority="52" operator="lessThan">
      <formula>0.8</formula>
    </cfRule>
  </conditionalFormatting>
  <conditionalFormatting sqref="AG44">
    <cfRule type="cellIs" dxfId="178" priority="54" operator="lessThan">
      <formula>0.8</formula>
    </cfRule>
  </conditionalFormatting>
  <conditionalFormatting sqref="AG21:AG26">
    <cfRule type="cellIs" dxfId="177" priority="51" operator="lessThan">
      <formula>0.8</formula>
    </cfRule>
  </conditionalFormatting>
  <conditionalFormatting sqref="AG28">
    <cfRule type="cellIs" dxfId="176" priority="53" operator="lessThan">
      <formula>0.8</formula>
    </cfRule>
  </conditionalFormatting>
  <conditionalFormatting sqref="AG36:AG42">
    <cfRule type="cellIs" dxfId="175" priority="49" operator="lessThan">
      <formula>0.8</formula>
    </cfRule>
  </conditionalFormatting>
  <conditionalFormatting sqref="AE60">
    <cfRule type="cellIs" dxfId="174" priority="45" operator="lessThan">
      <formula>0</formula>
    </cfRule>
  </conditionalFormatting>
  <conditionalFormatting sqref="AF60">
    <cfRule type="cellIs" dxfId="173" priority="43" operator="greaterThan">
      <formula>1</formula>
    </cfRule>
    <cfRule type="cellIs" dxfId="172" priority="44" operator="lessThan">
      <formula>0.8</formula>
    </cfRule>
  </conditionalFormatting>
  <conditionalFormatting sqref="O15:O16">
    <cfRule type="cellIs" dxfId="171" priority="38" operator="greaterThan">
      <formula>0</formula>
    </cfRule>
  </conditionalFormatting>
  <conditionalFormatting sqref="P15:P16">
    <cfRule type="cellIs" dxfId="170" priority="41" operator="lessThan">
      <formula>0</formula>
    </cfRule>
  </conditionalFormatting>
  <conditionalFormatting sqref="Q15:Q16">
    <cfRule type="cellIs" dxfId="169" priority="39" operator="greaterThan">
      <formula>1</formula>
    </cfRule>
    <cfRule type="cellIs" dxfId="168" priority="40" operator="lessThan">
      <formula>0.8</formula>
    </cfRule>
  </conditionalFormatting>
  <conditionalFormatting sqref="R15:R16 AG15:AG16">
    <cfRule type="cellIs" dxfId="167" priority="42" operator="lessThan">
      <formula>0.8</formula>
    </cfRule>
  </conditionalFormatting>
  <conditionalFormatting sqref="O9:O11">
    <cfRule type="cellIs" dxfId="166" priority="34" operator="greaterThan">
      <formula>0</formula>
    </cfRule>
  </conditionalFormatting>
  <conditionalFormatting sqref="P9:P11">
    <cfRule type="cellIs" dxfId="165" priority="37" operator="lessThan">
      <formula>0</formula>
    </cfRule>
  </conditionalFormatting>
  <conditionalFormatting sqref="Q9:Q11">
    <cfRule type="cellIs" dxfId="164" priority="35" operator="greaterThan">
      <formula>1</formula>
    </cfRule>
    <cfRule type="cellIs" dxfId="163" priority="36" operator="lessThan">
      <formula>0.8</formula>
    </cfRule>
  </conditionalFormatting>
  <conditionalFormatting sqref="O54">
    <cfRule type="cellIs" dxfId="162" priority="29" operator="greaterThan">
      <formula>0</formula>
    </cfRule>
  </conditionalFormatting>
  <conditionalFormatting sqref="P54">
    <cfRule type="cellIs" dxfId="161" priority="32" operator="lessThan">
      <formula>0</formula>
    </cfRule>
  </conditionalFormatting>
  <conditionalFormatting sqref="Q54">
    <cfRule type="cellIs" dxfId="160" priority="30" operator="greaterThan">
      <formula>1</formula>
    </cfRule>
    <cfRule type="cellIs" dxfId="159" priority="31" operator="lessThan">
      <formula>0.8</formula>
    </cfRule>
  </conditionalFormatting>
  <conditionalFormatting sqref="R54 AG54">
    <cfRule type="cellIs" dxfId="158" priority="33" operator="lessThan">
      <formula>0.8</formula>
    </cfRule>
  </conditionalFormatting>
  <conditionalFormatting sqref="O58">
    <cfRule type="cellIs" dxfId="157" priority="24" operator="greaterThan">
      <formula>0</formula>
    </cfRule>
  </conditionalFormatting>
  <conditionalFormatting sqref="P58 AE58">
    <cfRule type="cellIs" dxfId="156" priority="27" operator="lessThan">
      <formula>0</formula>
    </cfRule>
  </conditionalFormatting>
  <conditionalFormatting sqref="Q58 AF58">
    <cfRule type="cellIs" dxfId="155" priority="25" operator="greaterThan">
      <formula>1</formula>
    </cfRule>
    <cfRule type="cellIs" dxfId="154" priority="26" operator="lessThan">
      <formula>0.8</formula>
    </cfRule>
  </conditionalFormatting>
  <conditionalFormatting sqref="R58 AG58">
    <cfRule type="cellIs" dxfId="153" priority="28" operator="lessThan">
      <formula>0.8</formula>
    </cfRule>
  </conditionalFormatting>
  <conditionalFormatting sqref="O17:O18">
    <cfRule type="cellIs" dxfId="152" priority="19" operator="greaterThan">
      <formula>0</formula>
    </cfRule>
  </conditionalFormatting>
  <conditionalFormatting sqref="P17:P18">
    <cfRule type="cellIs" dxfId="151" priority="22" operator="lessThan">
      <formula>0</formula>
    </cfRule>
  </conditionalFormatting>
  <conditionalFormatting sqref="Q17:Q18">
    <cfRule type="cellIs" dxfId="150" priority="20" operator="greaterThan">
      <formula>1</formula>
    </cfRule>
    <cfRule type="cellIs" dxfId="149" priority="21" operator="lessThan">
      <formula>0.8</formula>
    </cfRule>
  </conditionalFormatting>
  <conditionalFormatting sqref="R17:R18 AG17:AG18">
    <cfRule type="cellIs" dxfId="148" priority="23" operator="lessThan">
      <formula>0.8</formula>
    </cfRule>
  </conditionalFormatting>
  <conditionalFormatting sqref="O57">
    <cfRule type="cellIs" dxfId="147" priority="14" operator="greaterThan">
      <formula>0</formula>
    </cfRule>
  </conditionalFormatting>
  <conditionalFormatting sqref="P57 AE57">
    <cfRule type="cellIs" dxfId="146" priority="17" operator="lessThan">
      <formula>0</formula>
    </cfRule>
  </conditionalFormatting>
  <conditionalFormatting sqref="Q57 AF57">
    <cfRule type="cellIs" dxfId="145" priority="15" operator="greaterThan">
      <formula>1</formula>
    </cfRule>
    <cfRule type="cellIs" dxfId="144" priority="16" operator="lessThan">
      <formula>0.8</formula>
    </cfRule>
  </conditionalFormatting>
  <conditionalFormatting sqref="R57 AG57">
    <cfRule type="cellIs" dxfId="143" priority="18" operator="lessThan">
      <formula>0.8</formula>
    </cfRule>
  </conditionalFormatting>
  <conditionalFormatting sqref="O19">
    <cfRule type="cellIs" dxfId="142" priority="9" operator="greaterThan">
      <formula>0</formula>
    </cfRule>
  </conditionalFormatting>
  <conditionalFormatting sqref="P19">
    <cfRule type="cellIs" dxfId="141" priority="12" operator="lessThan">
      <formula>0</formula>
    </cfRule>
  </conditionalFormatting>
  <conditionalFormatting sqref="Q19">
    <cfRule type="cellIs" dxfId="140" priority="10" operator="greaterThan">
      <formula>1</formula>
    </cfRule>
    <cfRule type="cellIs" dxfId="139" priority="11" operator="lessThan">
      <formula>0.8</formula>
    </cfRule>
  </conditionalFormatting>
  <conditionalFormatting sqref="AG19 R19">
    <cfRule type="cellIs" dxfId="138" priority="13" operator="lessThan">
      <formula>0.8</formula>
    </cfRule>
  </conditionalFormatting>
  <conditionalFormatting sqref="P7">
    <cfRule type="cellIs" dxfId="137" priority="8" operator="lessThan">
      <formula>0</formula>
    </cfRule>
  </conditionalFormatting>
  <conditionalFormatting sqref="P20">
    <cfRule type="cellIs" dxfId="136" priority="7" operator="lessThan">
      <formula>0</formula>
    </cfRule>
  </conditionalFormatting>
  <conditionalFormatting sqref="P27">
    <cfRule type="cellIs" dxfId="135" priority="6" operator="lessThan">
      <formula>0</formula>
    </cfRule>
  </conditionalFormatting>
  <conditionalFormatting sqref="P35">
    <cfRule type="cellIs" dxfId="134" priority="5" operator="lessThan">
      <formula>0</formula>
    </cfRule>
  </conditionalFormatting>
  <conditionalFormatting sqref="P47">
    <cfRule type="cellIs" dxfId="133" priority="4" operator="lessThan">
      <formula>0</formula>
    </cfRule>
  </conditionalFormatting>
  <conditionalFormatting sqref="P55">
    <cfRule type="cellIs" dxfId="132" priority="3" operator="lessThan">
      <formula>0</formula>
    </cfRule>
  </conditionalFormatting>
  <conditionalFormatting sqref="P60">
    <cfRule type="cellIs" dxfId="131" priority="2" operator="lessThan">
      <formula>0</formula>
    </cfRule>
  </conditionalFormatting>
  <conditionalFormatting sqref="P66">
    <cfRule type="cellIs" dxfId="130" priority="1" operator="lessThan">
      <formula>0</formula>
    </cfRule>
  </conditionalFormatting>
  <dataValidations count="1">
    <dataValidation type="list" allowBlank="1" showInputMessage="1" showErrorMessage="1" sqref="AB7 AA5:AB6 AB9:AB56 AA7:AA59 AA60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4"/>
    <col min="2" max="2" width="17.875" style="34" customWidth="1"/>
    <col min="3" max="3" width="9.25" style="42" customWidth="1"/>
    <col min="4" max="13" width="12.625" style="34" customWidth="1"/>
    <col min="14" max="14" width="11" style="34" bestFit="1" customWidth="1"/>
    <col min="15" max="15" width="17.75" style="34" bestFit="1" customWidth="1"/>
    <col min="16" max="16" width="12.25" style="34" bestFit="1" customWidth="1"/>
    <col min="17" max="22" width="9.25" style="34" customWidth="1"/>
    <col min="23" max="23" width="10.75" style="34" customWidth="1"/>
    <col min="24" max="24" width="11" style="34" customWidth="1"/>
    <col min="25" max="16384" width="8.75" style="34"/>
  </cols>
  <sheetData>
    <row r="1" spans="2:17" ht="27.75" customHeight="1">
      <c r="B1" s="592" t="s">
        <v>84</v>
      </c>
      <c r="C1" s="592"/>
      <c r="D1" s="592"/>
      <c r="E1" s="592"/>
      <c r="F1" s="592"/>
      <c r="G1" s="592"/>
      <c r="H1" s="592"/>
      <c r="I1" s="592"/>
      <c r="J1" s="592"/>
      <c r="K1" s="33"/>
      <c r="L1" s="33"/>
      <c r="M1" s="33"/>
      <c r="N1" s="33"/>
      <c r="O1" s="33"/>
      <c r="P1" s="33"/>
    </row>
    <row r="2" spans="2:17" ht="27.75" customHeight="1">
      <c r="B2" s="593"/>
      <c r="C2" s="593"/>
      <c r="D2" s="593"/>
      <c r="E2" s="593"/>
      <c r="F2" s="593"/>
      <c r="G2" s="593"/>
      <c r="H2" s="593"/>
      <c r="I2" s="593"/>
      <c r="J2" s="593"/>
      <c r="K2" s="35"/>
      <c r="L2" s="35"/>
      <c r="M2" s="35"/>
      <c r="N2" s="33"/>
      <c r="O2" s="33"/>
      <c r="P2" s="33"/>
    </row>
    <row r="3" spans="2:17" ht="46.5" customHeight="1">
      <c r="B3" s="36" t="s">
        <v>85</v>
      </c>
      <c r="C3" s="594" t="str">
        <f>TEXT('0701 4度C'!A2,"yyyy.mm.ddaaaa")</f>
        <v>2026.07.01星期三</v>
      </c>
      <c r="D3" s="595"/>
      <c r="E3" s="36" t="s">
        <v>86</v>
      </c>
      <c r="F3" s="596">
        <f>'0701 4度C'!D1</f>
        <v>172185</v>
      </c>
      <c r="G3" s="597"/>
      <c r="H3" s="36" t="s">
        <v>87</v>
      </c>
      <c r="I3" s="598">
        <f>'0701 4度C'!F1</f>
        <v>5808384.1899999995</v>
      </c>
      <c r="J3" s="599"/>
      <c r="K3" s="37"/>
      <c r="L3" s="38"/>
      <c r="M3" s="39"/>
      <c r="N3" s="39"/>
    </row>
    <row r="4" spans="2:17" ht="28.5" customHeight="1">
      <c r="B4" s="600" t="s">
        <v>88</v>
      </c>
      <c r="C4" s="586" t="s">
        <v>89</v>
      </c>
      <c r="D4" s="587"/>
      <c r="E4" s="603" t="s">
        <v>90</v>
      </c>
      <c r="F4" s="604"/>
      <c r="G4" s="603" t="s">
        <v>91</v>
      </c>
      <c r="H4" s="604"/>
      <c r="I4" s="603" t="s">
        <v>92</v>
      </c>
      <c r="J4" s="604"/>
      <c r="K4" s="584" t="s">
        <v>93</v>
      </c>
      <c r="L4" s="585"/>
      <c r="M4" s="585" t="s">
        <v>94</v>
      </c>
      <c r="N4" s="585"/>
    </row>
    <row r="5" spans="2:17" ht="28.5" customHeight="1">
      <c r="B5" s="601"/>
      <c r="C5" s="586" t="s">
        <v>95</v>
      </c>
      <c r="D5" s="587"/>
      <c r="E5" s="586" t="s">
        <v>96</v>
      </c>
      <c r="F5" s="587"/>
      <c r="G5" s="588" t="s">
        <v>97</v>
      </c>
      <c r="H5" s="589"/>
      <c r="I5" s="590" t="s">
        <v>98</v>
      </c>
      <c r="J5" s="591"/>
      <c r="K5" s="40" t="s">
        <v>99</v>
      </c>
      <c r="L5" s="41" t="s">
        <v>100</v>
      </c>
      <c r="M5" s="40" t="s">
        <v>99</v>
      </c>
      <c r="N5" s="41" t="s">
        <v>101</v>
      </c>
    </row>
    <row r="6" spans="2:17" ht="28.5" customHeight="1">
      <c r="B6" s="601"/>
      <c r="C6" s="586" t="s">
        <v>41</v>
      </c>
      <c r="D6" s="587"/>
      <c r="E6" s="578">
        <f>AVERAGE(D13:M13)</f>
        <v>158.59798784416591</v>
      </c>
      <c r="F6" s="579">
        <f>AVERAGE(D31:O31,D13:J13)</f>
        <v>167.10164780373506</v>
      </c>
      <c r="G6" s="580">
        <f>AVERAGE(D13:J13)</f>
        <v>167.10164780373506</v>
      </c>
      <c r="H6" s="581"/>
      <c r="I6" s="580">
        <f>AVERAGE(K13:M13)</f>
        <v>138.75611460517121</v>
      </c>
      <c r="J6" s="581"/>
      <c r="K6" s="582">
        <f>'0701 4度C'!Y2</f>
        <v>0</v>
      </c>
      <c r="L6" s="567">
        <f>'0701 4度C'!Z2</f>
        <v>0</v>
      </c>
      <c r="M6" s="583">
        <f>'0701 4度C'!AC2</f>
        <v>55</v>
      </c>
      <c r="N6" s="567">
        <f>'0701 4度C'!AD2</f>
        <v>0</v>
      </c>
    </row>
    <row r="7" spans="2:17" ht="28.5" customHeight="1">
      <c r="B7" s="601"/>
      <c r="C7" s="568" t="s">
        <v>42</v>
      </c>
      <c r="D7" s="569"/>
      <c r="E7" s="570">
        <f>AVERAGE(D14:M14)</f>
        <v>151.8994113746032</v>
      </c>
      <c r="F7" s="571">
        <f>AVERAGE(D32:O32,D14:J14)</f>
        <v>160.13067686204036</v>
      </c>
      <c r="G7" s="572">
        <f>AVERAGE(D14:J14)</f>
        <v>160.13067686204036</v>
      </c>
      <c r="H7" s="573"/>
      <c r="I7" s="572">
        <f>AVERAGE(K14:M14)</f>
        <v>132.69312523724986</v>
      </c>
      <c r="J7" s="573"/>
      <c r="K7" s="582"/>
      <c r="L7" s="567"/>
      <c r="M7" s="583"/>
      <c r="N7" s="567"/>
    </row>
    <row r="8" spans="2:17" ht="28.5" customHeight="1">
      <c r="B8" s="602"/>
      <c r="C8" s="568" t="s">
        <v>43</v>
      </c>
      <c r="D8" s="569"/>
      <c r="E8" s="574">
        <f>AVERAGE(D15:M15)</f>
        <v>0.95761088140814687</v>
      </c>
      <c r="F8" s="575">
        <f>AVERAGE(D15:J15,D33:O33)</f>
        <v>0.95819090161216047</v>
      </c>
      <c r="G8" s="576">
        <f>AVERAGE(D15:J15)</f>
        <v>0.95819090161216047</v>
      </c>
      <c r="H8" s="577"/>
      <c r="I8" s="576">
        <f>AVERAGE(K15:M15)</f>
        <v>0.95625750093211492</v>
      </c>
      <c r="J8" s="577"/>
      <c r="K8" s="582"/>
      <c r="L8" s="567"/>
      <c r="M8" s="583"/>
      <c r="N8" s="567"/>
    </row>
    <row r="9" spans="2:17" ht="28.5" customHeight="1" thickBot="1">
      <c r="H9" s="43"/>
      <c r="K9" s="44" t="s">
        <v>102</v>
      </c>
      <c r="N9" s="39"/>
      <c r="O9" s="39"/>
      <c r="P9" s="39"/>
      <c r="Q9" s="39"/>
    </row>
    <row r="10" spans="2:17" ht="30" customHeight="1">
      <c r="B10" s="550" t="s">
        <v>103</v>
      </c>
      <c r="C10" s="551"/>
      <c r="D10" s="552" t="s">
        <v>104</v>
      </c>
      <c r="E10" s="553"/>
      <c r="F10" s="553"/>
      <c r="G10" s="553"/>
      <c r="H10" s="553"/>
      <c r="I10" s="553"/>
      <c r="J10" s="554"/>
      <c r="K10" s="555" t="s">
        <v>105</v>
      </c>
      <c r="L10" s="556"/>
      <c r="M10" s="557"/>
      <c r="P10" s="45"/>
      <c r="Q10" s="45"/>
    </row>
    <row r="11" spans="2:17" ht="17.25" customHeight="1">
      <c r="B11" s="558" t="s">
        <v>106</v>
      </c>
      <c r="C11" s="559"/>
      <c r="D11" s="46">
        <v>1</v>
      </c>
      <c r="E11" s="47">
        <v>2</v>
      </c>
      <c r="F11" s="47">
        <v>3</v>
      </c>
      <c r="G11" s="47">
        <v>4</v>
      </c>
      <c r="H11" s="47">
        <v>5</v>
      </c>
      <c r="I11" s="47">
        <v>6</v>
      </c>
      <c r="J11" s="48">
        <v>7</v>
      </c>
      <c r="K11" s="46">
        <v>1</v>
      </c>
      <c r="L11" s="47">
        <v>2</v>
      </c>
      <c r="M11" s="48">
        <v>3</v>
      </c>
      <c r="P11" s="45"/>
      <c r="Q11" s="45"/>
    </row>
    <row r="12" spans="2:17" ht="34.15" customHeight="1">
      <c r="B12" s="560"/>
      <c r="C12" s="561"/>
      <c r="D12" s="49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49</v>
      </c>
      <c r="J12" s="51" t="s">
        <v>50</v>
      </c>
      <c r="K12" s="49" t="s">
        <v>51</v>
      </c>
      <c r="L12" s="50" t="s">
        <v>52</v>
      </c>
      <c r="M12" s="51" t="s">
        <v>53</v>
      </c>
    </row>
    <row r="13" spans="2:17" ht="40.15" customHeight="1">
      <c r="B13" s="562" t="s">
        <v>107</v>
      </c>
      <c r="C13" s="52" t="s">
        <v>108</v>
      </c>
      <c r="D13" s="53">
        <f>SUMIFS('0701 4度C'!$K:$K,'0701 4度C'!$A:$A,"新豐6線",'0701 4度C'!$B:$B,"平均")</f>
        <v>129.03225806451613</v>
      </c>
      <c r="E13" s="54">
        <f>SUMIFS('0701 4度C'!$K:$K,'0701 4度C'!$A:$A,"新豐2線",'0701 4度C'!$B:$B,"平均")</f>
        <v>88.235294117647058</v>
      </c>
      <c r="F13" s="55">
        <f>SUMIFS('0701 4度C'!$K:$K,'0701 4度C'!$A:$A,"新豐5線",'0701 4度C'!$B:$B,"平均")</f>
        <v>88.461538461538453</v>
      </c>
      <c r="G13" s="55">
        <f>SUMIFS('0701 4度C'!$K:$K,'0701 4度C'!$A:$A,"新豐7線",'0701 4度C'!$B:$B,"平均")</f>
        <v>119.99999999999999</v>
      </c>
      <c r="H13" s="55">
        <f>SUMIFS('0701 4度C'!$K:$K,'0701 4度C'!$A:$A,"新豐3線",'0701 4度C'!$B:$B,"平均")</f>
        <v>300</v>
      </c>
      <c r="I13" s="55">
        <f>SUMIFS('0701 4度C'!$K:$K,'0701 4度C'!$A:$A,"新豐1線",'0701 4度C'!$B:$B,"平均")</f>
        <v>119.65811965811965</v>
      </c>
      <c r="J13" s="56">
        <f>SUMIFS('0701 4度C'!$K:$K,'0701 4度C'!$A:$A,"新豐10線",'0701 4度C'!$B:$B,"平均")</f>
        <v>324.32432432432432</v>
      </c>
      <c r="K13" s="57">
        <f>SUMIFS('0701 4度C'!$K:$K,'0701 4度C'!$A:$A,"新豐8線",'0701 4度C'!$B:$B,"平均")</f>
        <v>137.14285714285714</v>
      </c>
      <c r="L13" s="58">
        <f>SUMIFS('0701 4度C'!$K:$K,'0701 4度C'!$A:$A,"新豐9線",'0701 4度C'!$B:$B,"平均")</f>
        <v>120.63492063492065</v>
      </c>
      <c r="M13" s="56">
        <f>SUMIFS('0701 4度C'!$K:$K,'0701 4度C'!$A:$A,"新豐4線",'0701 4度C'!$B:$B,"平均")</f>
        <v>158.49056603773585</v>
      </c>
    </row>
    <row r="14" spans="2:17" ht="39.6" customHeight="1">
      <c r="B14" s="563"/>
      <c r="C14" s="59" t="s">
        <v>109</v>
      </c>
      <c r="D14" s="60">
        <f>SUMIFS('0701 4度C'!$N:$N,'0701 4度C'!$A:$A,"新豐6線",'0701 4度C'!$B:$B,"平均")</f>
        <v>123.54687668572676</v>
      </c>
      <c r="E14" s="61">
        <f>SUMIFS('0701 4度C'!$N:$N,'0701 4度C'!$A:$A,"新豐2線",'0701 4度C'!$B:$B,"平均")</f>
        <v>84.327204581557112</v>
      </c>
      <c r="F14" s="61">
        <f>SUMIFS('0701 4度C'!$N:$N,'0701 4度C'!$A:$A,"新豐5線",'0701 4度C'!$B:$B,"平均")</f>
        <v>84.624144053092252</v>
      </c>
      <c r="G14" s="61">
        <f>SUMIFS('0701 4度C'!$N:$N,'0701 4度C'!$A:$A,"新豐7線",'0701 4度C'!$B:$B,"平均")</f>
        <v>115.27788830027595</v>
      </c>
      <c r="H14" s="61">
        <f>SUMIFS('0701 4度C'!$N:$N,'0701 4度C'!$A:$A,"新豐3線",'0701 4度C'!$B:$B,"平均")</f>
        <v>287.54855252203618</v>
      </c>
      <c r="I14" s="61">
        <f>SUMIFS('0701 4度C'!$N:$N,'0701 4度C'!$A:$A,"新豐1線",'0701 4度C'!$B:$B,"平均")</f>
        <v>114.93373765978809</v>
      </c>
      <c r="J14" s="62">
        <f>SUMIFS('0701 4度C'!$N:$N,'0701 4度C'!$A:$A,"新豐10線",'0701 4度C'!$B:$B,"平均")</f>
        <v>310.65633423180606</v>
      </c>
      <c r="K14" s="63">
        <f>SUMIFS('0701 4度C'!$N:$N,'0701 4度C'!$A:$A,"新豐8線",'0701 4度C'!$B:$B,"平均")</f>
        <v>131.17298403464471</v>
      </c>
      <c r="L14" s="64">
        <f>SUMIFS('0701 4度C'!$N:$N,'0701 4度C'!$A:$A,"新豐9線",'0701 4度C'!$B:$B,"平均")</f>
        <v>115.28099638333644</v>
      </c>
      <c r="M14" s="62">
        <f>SUMIFS('0701 4度C'!$N:$N,'0701 4度C'!$A:$A,"新豐4線",'0701 4度C'!$B:$B,"平均")</f>
        <v>151.62539529376841</v>
      </c>
    </row>
    <row r="15" spans="2:17" ht="40.15" customHeight="1">
      <c r="B15" s="564"/>
      <c r="C15" s="65" t="s">
        <v>110</v>
      </c>
      <c r="D15" s="66">
        <f t="shared" ref="D15:M15" si="0">D14/D13</f>
        <v>0.95748829431438243</v>
      </c>
      <c r="E15" s="67">
        <f t="shared" si="0"/>
        <v>0.9557083185909806</v>
      </c>
      <c r="F15" s="67">
        <f t="shared" si="0"/>
        <v>0.95662075886104292</v>
      </c>
      <c r="G15" s="67">
        <f t="shared" si="0"/>
        <v>0.96064906916896631</v>
      </c>
      <c r="H15" s="67">
        <f t="shared" si="0"/>
        <v>0.95849517507345394</v>
      </c>
      <c r="I15" s="67">
        <f t="shared" si="0"/>
        <v>0.96051766472822919</v>
      </c>
      <c r="J15" s="68">
        <f t="shared" si="0"/>
        <v>0.9578570305480687</v>
      </c>
      <c r="K15" s="66">
        <f t="shared" si="0"/>
        <v>0.95646967525261772</v>
      </c>
      <c r="L15" s="67">
        <f t="shared" si="0"/>
        <v>0.9556187858092362</v>
      </c>
      <c r="M15" s="68">
        <f t="shared" si="0"/>
        <v>0.95668404173449118</v>
      </c>
    </row>
    <row r="16" spans="2:17" ht="17.25" customHeight="1">
      <c r="B16" s="565" t="s">
        <v>111</v>
      </c>
      <c r="C16" s="69" t="s">
        <v>112</v>
      </c>
      <c r="D16" s="70">
        <f>VLOOKUP("新豐6線",'0701 4度C'!$A:$T,19,0)</f>
        <v>0.70833333333333337</v>
      </c>
      <c r="E16" s="71">
        <f>VLOOKUP("新豐2線",'0701 4度C'!$A:$T,19,0)</f>
        <v>0.125</v>
      </c>
      <c r="F16" s="71">
        <f>VLOOKUP("新豐5線",'0701 4度C'!$A:$T,19,0)</f>
        <v>8.3333333333333329E-2</v>
      </c>
      <c r="G16" s="71">
        <f>VLOOKUP("新豐7線",'0701 4度C'!$A:$T,19,0)</f>
        <v>0.20833333333333334</v>
      </c>
      <c r="H16" s="71">
        <f>VLOOKUP("新豐3線",'0701 4度C'!$A:$T,19,0)</f>
        <v>0.20833333333333334</v>
      </c>
      <c r="I16" s="71">
        <f>VLOOKUP("新豐1線",'0701 4度C'!$A:$T,19,0)</f>
        <v>0.20833333333333334</v>
      </c>
      <c r="J16" s="72">
        <f>VLOOKUP("新豐10線",'0701 4度C'!$A:$T,19,0)</f>
        <v>0.20833333333333334</v>
      </c>
      <c r="K16" s="73">
        <f>VLOOKUP("新豐8線",'0701 4度C'!$A:$T,19,0)</f>
        <v>8.3333333333333329E-2</v>
      </c>
      <c r="L16" s="74">
        <f>VLOOKUP("新豐9線",'0701 4度C'!$A:$T,19,0)</f>
        <v>8.3333333333333329E-2</v>
      </c>
      <c r="M16" s="75">
        <f>VLOOKUP("新豐4線",'0701 4度C'!$A:$T,19,0)</f>
        <v>8.3333333333333329E-2</v>
      </c>
    </row>
    <row r="17" spans="2:13" ht="17.25" customHeight="1">
      <c r="B17" s="566"/>
      <c r="C17" s="69" t="s">
        <v>113</v>
      </c>
      <c r="D17" s="73">
        <f>LOOKUP(2,1/(('0701 4度C'!$A:$A="新豐6線")*('0701 4度C'!$T:$T&lt;&gt;"")),'0701 4度C'!$T:$T)</f>
        <v>0.80486111111111103</v>
      </c>
      <c r="E17" s="71">
        <f>LOOKUP(2,1/(('0701 4度C'!$A:$A="新豐2線")*('0701 4度C'!$T:$T&lt;&gt;"")),'0701 4度C'!$T:$T)</f>
        <v>0.62569444444444444</v>
      </c>
      <c r="F17" s="71">
        <f>LOOKUP(2,1/(('0701 4度C'!$A:$A="新豐5線")*('0701 4度C'!$T:$T&lt;&gt;"")),'0701 4度C'!$T:$T)</f>
        <v>0.81111111111111112</v>
      </c>
      <c r="G17" s="71">
        <f>LOOKUP(2,1/(('0701 4度C'!$A:$A="新豐7線")*('0701 4度C'!$T:$T&lt;&gt;"")),'0701 4度C'!$T:$T)</f>
        <v>0.81458333333333333</v>
      </c>
      <c r="H17" s="71">
        <f>LOOKUP(2,1/(('0701 4度C'!$A:$A="新豐3線")*('0701 4度C'!$T:$T&lt;&gt;"")),'0701 4度C'!$T:$T)</f>
        <v>0.44583333333333336</v>
      </c>
      <c r="I17" s="71">
        <f>LOOKUP(2,1/(('0701 4度C'!$A:$A="新豐1線")*('0701 4度C'!$T:$T&lt;&gt;"")),'0701 4度C'!$T:$T)</f>
        <v>0.83472222222222214</v>
      </c>
      <c r="J17" s="72">
        <f>LOOKUP(2,1/(('0701 4度C'!$A:$A="新豐10線")*('0701 4度C'!$T:$T&lt;&gt;"")),'0701 4度C'!$T:$T)</f>
        <v>0.41388888888888881</v>
      </c>
      <c r="K17" s="70">
        <f>LOOKUP(2,1/(('0701 4度C'!$A:$A="新豐8線")*('0701 4度C'!$T:$T&lt;&gt;"")),'0701 4度C'!$T:$T)</f>
        <v>0.68541666666666656</v>
      </c>
      <c r="L17" s="71">
        <f>LOOKUP(2,1/(('0701 4度C'!$A:$A="新豐9線")*('0701 4度C'!$T:$T&lt;&gt;"")),'0701 4度C'!$T:$T)</f>
        <v>0.66388888888888875</v>
      </c>
      <c r="M17" s="72">
        <f>LOOKUP(2,1/(('0701 4度C'!$A:$A="新豐4線")*('0701 4度C'!$T:$T&lt;&gt;"")),'0701 4度C'!$T:$T)</f>
        <v>0.66597222222222219</v>
      </c>
    </row>
    <row r="18" spans="2:13" ht="17.25" customHeight="1">
      <c r="B18" s="544" t="s">
        <v>114</v>
      </c>
      <c r="C18" s="76" t="s">
        <v>68</v>
      </c>
      <c r="D18" s="77">
        <f>SUMIFS('0701 4度C'!$Y:$Y,'0701 4度C'!$A:$A,"新豐6線",'0701 4度C'!$B:$B,"平均")</f>
        <v>0</v>
      </c>
      <c r="E18" s="78">
        <f>SUMIFS('0701 4度C'!$Y:$Y,'0701 4度C'!$A:$A,"新豐2線",'0701 4度C'!$B:$B,"平均")</f>
        <v>0</v>
      </c>
      <c r="F18" s="78">
        <f>SUMIFS('0701 4度C'!$Y:$Y,'0701 4度C'!$A:$A,"新豐5線",'0701 4度C'!$B:$B,"平均")</f>
        <v>0</v>
      </c>
      <c r="G18" s="78">
        <f>SUMIFS('0701 4度C'!$Y:$Y,'0701 4度C'!$A:$A,"新豐7線",'0701 4度C'!$B:$B,"平均")</f>
        <v>0</v>
      </c>
      <c r="H18" s="78">
        <f>SUMIFS('0701 4度C'!$Y:$Y,'0701 4度C'!$A:$A,"新豐3線",'0701 4度C'!$B:$B,"平均")</f>
        <v>0</v>
      </c>
      <c r="I18" s="78">
        <f>SUMIFS('0701 4度C'!$Y:$Y,'0701 4度C'!$A:$A,"新豐1線",'0701 4度C'!$B:$B,"平均")</f>
        <v>0</v>
      </c>
      <c r="J18" s="79">
        <f>SUMIFS('0701 4度C'!$Y:$Y,'0701 4度C'!$A:$A,"新豐10線",'0701 4度C'!$B:$B,"平均")</f>
        <v>0</v>
      </c>
      <c r="K18" s="80">
        <f>SUMIFS('0701 4度C'!$Y:$Y,'0701 4度C'!$A:$A,"新豐8線",'0701 4度C'!$B:$B,"平均")</f>
        <v>0</v>
      </c>
      <c r="L18" s="78">
        <f>SUMIFS('0701 4度C'!$Y:$Y,'0701 4度C'!$A:$A,"新豐9線",'0701 4度C'!$B:$B,"平均")</f>
        <v>0</v>
      </c>
      <c r="M18" s="79">
        <f>SUMIFS('0701 4度C'!$Y:$Y,'0701 4度C'!$A:$A,"新豐4線",'0701 4度C'!$B:$B,"平均")</f>
        <v>0</v>
      </c>
    </row>
    <row r="19" spans="2:13" ht="17.25" customHeight="1">
      <c r="B19" s="545"/>
      <c r="C19" s="76" t="s">
        <v>115</v>
      </c>
      <c r="D19" s="77">
        <f>SUMIFS('0701 4度C'!$Z:$Z,'0701 4度C'!$A:$A,"新豐6線",'0701 4度C'!$B:$B,"平均")</f>
        <v>0</v>
      </c>
      <c r="E19" s="78">
        <f>SUMIFS('0701 4度C'!$Z:$Z,'0701 4度C'!$A:$A,"新豐2線",'0701 4度C'!$B:$B,"平均")</f>
        <v>0</v>
      </c>
      <c r="F19" s="78">
        <f>SUMIFS('0701 4度C'!$Z:$Z,'0701 4度C'!$A:$A,"新豐5線",'0701 4度C'!$B:$B,"平均")</f>
        <v>0</v>
      </c>
      <c r="G19" s="78">
        <f>SUMIFS('0701 4度C'!$Z:$Z,'0701 4度C'!$A:$A,"新豐7線",'0701 4度C'!$B:$B,"平均")</f>
        <v>0</v>
      </c>
      <c r="H19" s="78">
        <f>SUMIFS('0701 4度C'!$Z:$Z,'0701 4度C'!$A:$A,"新豐3線",'0701 4度C'!$B:$B,"平均")</f>
        <v>0</v>
      </c>
      <c r="I19" s="78">
        <f>SUMIFS('0701 4度C'!$Z:$Z,'0701 4度C'!$A:$A,"新豐1線",'0701 4度C'!$B:$B,"平均")</f>
        <v>0</v>
      </c>
      <c r="J19" s="79">
        <f>SUMIFS('0701 4度C'!$Z:$Z,'0701 4度C'!$A:$A,"新豐10線",'0701 4度C'!$B:$B,"平均")</f>
        <v>0</v>
      </c>
      <c r="K19" s="80">
        <f>SUMIFS('0701 4度C'!$Z:$Z,'0701 4度C'!$A:$A,"新豐8線",'0701 4度C'!$B:$B,"平均")</f>
        <v>0</v>
      </c>
      <c r="L19" s="78">
        <f>SUMIFS('0701 4度C'!$Z:$Z,'0701 4度C'!$A:$A,"新豐9線",'0701 4度C'!$B:$B,"平均")</f>
        <v>0</v>
      </c>
      <c r="M19" s="79">
        <f>SUMIFS('0701 4度C'!$Z:$Z,'0701 4度C'!$A:$A,"新豐4線",'0701 4度C'!$B:$B,"平均")</f>
        <v>0</v>
      </c>
    </row>
    <row r="20" spans="2:13" ht="17.25" customHeight="1">
      <c r="B20" s="544" t="s">
        <v>69</v>
      </c>
      <c r="C20" s="76" t="s">
        <v>116</v>
      </c>
      <c r="D20" s="77">
        <f>SUMIFS('0701 4度C'!$AC:$AC,'0701 4度C'!$A:$A,"新豐6線",'0701 4度C'!$B:$B,"平均")</f>
        <v>2</v>
      </c>
      <c r="E20" s="78">
        <f>SUMIFS('0701 4度C'!$AC:$AC,'0701 4度C'!$A:$A,"新豐2線",'0701 4度C'!$B:$B,"平均")</f>
        <v>4</v>
      </c>
      <c r="F20" s="78">
        <f>SUMIFS('0701 4度C'!$AC:$AC,'0701 4度C'!$A:$A,"新豐5線",'0701 4度C'!$B:$B,"平均")</f>
        <v>7</v>
      </c>
      <c r="G20" s="78">
        <f>SUMIFS('0701 4度C'!$AC:$AC,'0701 4度C'!$A:$A,"新豐7線",'0701 4度C'!$B:$B,"平均")</f>
        <v>6</v>
      </c>
      <c r="H20" s="78">
        <f>SUMIFS('0701 4度C'!$AC:$AC,'0701 4度C'!$A:$A,"新豐3線",'0701 4度C'!$B:$B,"平均")</f>
        <v>3</v>
      </c>
      <c r="I20" s="78">
        <f>SUMIFS('0701 4度C'!$AC:$AC,'0701 4度C'!$A:$A,"新豐1線",'0701 4度C'!$B:$B,"平均")</f>
        <v>7</v>
      </c>
      <c r="J20" s="79">
        <f>SUMIFS('0701 4度C'!$AC:$AC,'0701 4度C'!$A:$A,"新豐10線",'0701 4度C'!$B:$B,"平均")</f>
        <v>4</v>
      </c>
      <c r="K20" s="80">
        <f>SUMIFS('0701 4度C'!$AC:$AC,'0701 4度C'!$A:$A,"新豐8線",'0701 4度C'!$B:$B,"平均")</f>
        <v>8</v>
      </c>
      <c r="L20" s="78">
        <f>SUMIFS('0701 4度C'!$AC:$AC,'0701 4度C'!$A:$A,"新豐9線",'0701 4度C'!$B:$B,"平均")</f>
        <v>7</v>
      </c>
      <c r="M20" s="79">
        <f>SUMIFS('0701 4度C'!$AC:$AC,'0701 4度C'!$A:$A,"新豐4線",'0701 4度C'!$B:$B,"平均")</f>
        <v>7</v>
      </c>
    </row>
    <row r="21" spans="2:13" ht="17.25" customHeight="1">
      <c r="B21" s="545"/>
      <c r="C21" s="76" t="s">
        <v>117</v>
      </c>
      <c r="D21" s="77">
        <f>SUMIFS('0701 4度C'!$AD:$AD,'0701 4度C'!$A:$A,"新豐6線",'0701 4度C'!$B:$B,"平均")</f>
        <v>0</v>
      </c>
      <c r="E21" s="78">
        <f>SUMIFS('0701 4度C'!$AD:$AD,'0701 4度C'!$A:$A,"新豐2線",'0701 4度C'!$B:$B,"平均")</f>
        <v>0</v>
      </c>
      <c r="F21" s="78">
        <f>SUMIFS('0701 4度C'!$AD:$AD,'0701 4度C'!$A:$A,"新豐5線",'0701 4度C'!$B:$B,"平均")</f>
        <v>0</v>
      </c>
      <c r="G21" s="78">
        <f>SUMIFS('0701 4度C'!$AD:$AD,'0701 4度C'!$A:$A,"新豐7線",'0701 4度C'!$B:$B,"平均")</f>
        <v>0</v>
      </c>
      <c r="H21" s="78">
        <f>SUMIFS('0701 4度C'!$AD:$AD,'0701 4度C'!$A:$A,"新豐3線",'0701 4度C'!$B:$B,"平均")</f>
        <v>0</v>
      </c>
      <c r="I21" s="78">
        <f>SUMIFS('0701 4度C'!$AD:$AD,'0701 4度C'!$A:$A,"新豐1線",'0701 4度C'!$B:$B,"平均")</f>
        <v>0</v>
      </c>
      <c r="J21" s="79">
        <f>SUMIFS('0701 4度C'!$AD:$AD,'0701 4度C'!$A:$A,"新豐10線",'0701 4度C'!$B:$B,"平均")</f>
        <v>0</v>
      </c>
      <c r="K21" s="80">
        <f>SUMIFS('0701 4度C'!$AD:$AD,'0701 4度C'!$A:$A,"新豐8線",'0701 4度C'!$B:$B,"平均")</f>
        <v>0</v>
      </c>
      <c r="L21" s="78">
        <f>SUMIFS('0701 4度C'!$AD:$AD,'0701 4度C'!$A:$A,"新豐9線",'0701 4度C'!$B:$B,"平均")</f>
        <v>0</v>
      </c>
      <c r="M21" s="79">
        <f>SUMIFS('0701 4度C'!$AD:$AD,'0701 4度C'!$A:$A,"新豐4線",'0701 4度C'!$B:$B,"平均")</f>
        <v>0</v>
      </c>
    </row>
    <row r="22" spans="2:13" ht="17.25" customHeight="1">
      <c r="B22" s="546" t="s">
        <v>118</v>
      </c>
      <c r="C22" s="547"/>
      <c r="D22" s="81">
        <f>SUMIFS('0701 4度C'!$I:$I,'0701 4度C'!$A:$A,"新豐6線",'0701 4度C'!$B:$B,"平均")</f>
        <v>15.5</v>
      </c>
      <c r="E22" s="82">
        <f>SUMIFS('0701 4度C'!$I:$I,'0701 4度C'!$A:$A,"新豐2線",'0701 4度C'!$B:$B,"平均")</f>
        <v>17</v>
      </c>
      <c r="F22" s="82">
        <f>SUMIFS('0701 4度C'!$I:$I,'0701 4度C'!$A:$A,"新豐5線",'0701 4度C'!$B:$B,"平均")</f>
        <v>18.571428571428573</v>
      </c>
      <c r="G22" s="82">
        <f>SUMIFS('0701 4度C'!$I:$I,'0701 4度C'!$A:$A,"新豐7線",'0701 4度C'!$B:$B,"平均")</f>
        <v>16.666666666666668</v>
      </c>
      <c r="H22" s="82">
        <f>SUMIFS('0701 4度C'!$I:$I,'0701 4度C'!$A:$A,"新豐3線",'0701 4度C'!$B:$B,"平均")</f>
        <v>10</v>
      </c>
      <c r="I22" s="82">
        <f>SUMIFS('0701 4度C'!$I:$I,'0701 4度C'!$A:$A,"新豐1線",'0701 4度C'!$B:$B,"平均")</f>
        <v>16.714285714285715</v>
      </c>
      <c r="J22" s="83">
        <f>SUMIFS('0701 4度C'!$I:$I,'0701 4度C'!$A:$A,"新豐10線",'0701 4度C'!$B:$B,"平均")</f>
        <v>9.25</v>
      </c>
      <c r="K22" s="81">
        <f>SUMIFS('0701 4度C'!$I:$I,'0701 4度C'!$A:$A,"新豐8線",'0701 4度C'!$B:$B,"平均")</f>
        <v>17.5</v>
      </c>
      <c r="L22" s="82">
        <f>SUMIFS('0701 4度C'!$I:$I,'0701 4度C'!$A:$A,"新豐9線",'0701 4度C'!$B:$B,"平均")</f>
        <v>18</v>
      </c>
      <c r="M22" s="83">
        <f>SUMIFS('0701 4度C'!$I:$I,'0701 4度C'!$A:$A,"新豐4線",'0701 4度C'!$B:$B,"平均")</f>
        <v>15.142857142857142</v>
      </c>
    </row>
    <row r="23" spans="2:13" ht="17.25" customHeight="1">
      <c r="B23" s="546" t="s">
        <v>119</v>
      </c>
      <c r="C23" s="547"/>
      <c r="D23" s="84" t="s">
        <v>54</v>
      </c>
      <c r="E23" s="85" t="s">
        <v>55</v>
      </c>
      <c r="F23" s="85" t="s">
        <v>120</v>
      </c>
      <c r="G23" s="85" t="s">
        <v>120</v>
      </c>
      <c r="H23" s="85" t="s">
        <v>56</v>
      </c>
      <c r="I23" s="85" t="s">
        <v>54</v>
      </c>
      <c r="J23" s="86" t="s">
        <v>56</v>
      </c>
      <c r="K23" s="84" t="s">
        <v>121</v>
      </c>
      <c r="L23" s="85" t="s">
        <v>121</v>
      </c>
      <c r="M23" s="86" t="s">
        <v>121</v>
      </c>
    </row>
    <row r="24" spans="2:13" ht="17.25" customHeight="1">
      <c r="B24" s="546" t="s">
        <v>122</v>
      </c>
      <c r="C24" s="547"/>
      <c r="D24" s="84"/>
      <c r="E24" s="85"/>
      <c r="F24" s="85" t="s">
        <v>123</v>
      </c>
      <c r="G24" s="85" t="s">
        <v>54</v>
      </c>
      <c r="H24" s="85"/>
      <c r="I24" s="85"/>
      <c r="J24" s="86"/>
      <c r="K24" s="84"/>
      <c r="L24" s="85"/>
      <c r="M24" s="86"/>
    </row>
    <row r="25" spans="2:13" ht="17.25" customHeight="1" thickBot="1">
      <c r="B25" s="548" t="s">
        <v>124</v>
      </c>
      <c r="C25" s="549"/>
      <c r="D25" s="87"/>
      <c r="E25" s="88" t="s">
        <v>125</v>
      </c>
      <c r="F25" s="542" t="s">
        <v>126</v>
      </c>
      <c r="G25" s="543"/>
      <c r="H25" s="88" t="s">
        <v>127</v>
      </c>
      <c r="I25" s="88" t="s">
        <v>128</v>
      </c>
      <c r="J25" s="89" t="s">
        <v>127</v>
      </c>
      <c r="K25" s="90"/>
      <c r="L25" s="88"/>
      <c r="M25" s="8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A9" sqref="A9"/>
      <selection pane="bottomLeft" activeCell="A8" sqref="A8:A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1" customWidth="1"/>
    <col min="20" max="20" width="7.625" style="91" customWidth="1"/>
    <col min="21" max="21" width="10.25" style="7" customWidth="1"/>
    <col min="22" max="22" width="8.75" style="24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129</v>
      </c>
      <c r="B1" s="1"/>
      <c r="C1" s="2" t="s">
        <v>130</v>
      </c>
      <c r="D1" s="3">
        <f>SUM(F5:F69)</f>
        <v>172185</v>
      </c>
      <c r="E1" s="96" t="s">
        <v>131</v>
      </c>
      <c r="F1" s="1">
        <f>SUM(G5:G69)</f>
        <v>5808384.1899999995</v>
      </c>
      <c r="G1" s="1" t="s">
        <v>132</v>
      </c>
      <c r="H1" s="4">
        <f>L7+L12+L48+L56+L20+L61+L36+L44+L27+L69</f>
        <v>154.3452380952381</v>
      </c>
      <c r="I1" s="654" t="s">
        <v>133</v>
      </c>
      <c r="J1" s="654"/>
      <c r="K1" s="654"/>
      <c r="L1" s="654" t="s">
        <v>134</v>
      </c>
      <c r="M1" s="654"/>
      <c r="N1" s="654"/>
      <c r="O1" s="654" t="s">
        <v>135</v>
      </c>
      <c r="P1" s="654"/>
      <c r="Q1" s="654"/>
      <c r="R1" s="654"/>
      <c r="S1" s="654" t="s">
        <v>136</v>
      </c>
      <c r="T1" s="654"/>
      <c r="U1" s="654"/>
      <c r="V1" s="654"/>
      <c r="W1" s="654"/>
      <c r="X1" s="654"/>
      <c r="Y1" s="5" t="s">
        <v>137</v>
      </c>
      <c r="Z1" s="6" t="s">
        <v>138</v>
      </c>
      <c r="AA1" s="655" t="s">
        <v>139</v>
      </c>
      <c r="AB1" s="655"/>
      <c r="AC1" s="92" t="s">
        <v>137</v>
      </c>
      <c r="AD1" s="6" t="s">
        <v>140</v>
      </c>
      <c r="AE1" s="654" t="s">
        <v>141</v>
      </c>
      <c r="AF1" s="656"/>
      <c r="AG1" s="656"/>
    </row>
    <row r="2" spans="1:33" ht="26.25" customHeight="1">
      <c r="A2" s="25">
        <v>46204</v>
      </c>
      <c r="B2" s="26" t="s">
        <v>76</v>
      </c>
      <c r="C2" s="2" t="s">
        <v>142</v>
      </c>
      <c r="D2" s="8">
        <f>AVERAGE(N7,N12,N48,N56,N20,N61,N27,N36,N44,N69)</f>
        <v>151.89941137460318</v>
      </c>
      <c r="E2" s="9" t="s">
        <v>0</v>
      </c>
      <c r="F2" s="10">
        <f>F1/D1</f>
        <v>33.733392513865894</v>
      </c>
      <c r="G2" s="1" t="s">
        <v>143</v>
      </c>
      <c r="H2" s="105">
        <f>COUNT(H5:H69)</f>
        <v>8</v>
      </c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11">
        <f>SUM(Y7+Y12+Y20+Y27+Y36+Y44+Y48+Y56+Y61+Y69)</f>
        <v>0</v>
      </c>
      <c r="Z2" s="11">
        <f>SUM(Z7+Z12+Z20+Z27+Z36+Z44+Z48+Z56+Z61+Z69)</f>
        <v>0</v>
      </c>
      <c r="AA2" s="655"/>
      <c r="AB2" s="655"/>
      <c r="AC2" s="11">
        <v>55</v>
      </c>
      <c r="AD2" s="11">
        <f>SUM(AD7+AD12+AD20+AD27+AD36+AD44+AD48+AD56+AD61+AD69)</f>
        <v>0</v>
      </c>
      <c r="AE2" s="656"/>
      <c r="AF2" s="656"/>
      <c r="AG2" s="656"/>
    </row>
    <row r="3" spans="1:33" ht="40.5" customHeight="1">
      <c r="A3" s="612" t="s">
        <v>144</v>
      </c>
      <c r="B3" s="612" t="s">
        <v>145</v>
      </c>
      <c r="C3" s="612" t="s">
        <v>146</v>
      </c>
      <c r="D3" s="612"/>
      <c r="E3" s="652" t="s">
        <v>147</v>
      </c>
      <c r="F3" s="612" t="s">
        <v>148</v>
      </c>
      <c r="G3" s="652" t="s">
        <v>149</v>
      </c>
      <c r="H3" s="645" t="s">
        <v>150</v>
      </c>
      <c r="I3" s="644" t="s">
        <v>78</v>
      </c>
      <c r="J3" s="641" t="s">
        <v>151</v>
      </c>
      <c r="K3" s="650" t="s">
        <v>152</v>
      </c>
      <c r="L3" s="644" t="s">
        <v>153</v>
      </c>
      <c r="M3" s="641" t="s">
        <v>154</v>
      </c>
      <c r="N3" s="650" t="s">
        <v>155</v>
      </c>
      <c r="O3" s="644" t="s">
        <v>156</v>
      </c>
      <c r="P3" s="650" t="s">
        <v>157</v>
      </c>
      <c r="Q3" s="642" t="s">
        <v>158</v>
      </c>
      <c r="R3" s="621" t="s">
        <v>159</v>
      </c>
      <c r="S3" s="651" t="s">
        <v>1</v>
      </c>
      <c r="T3" s="651"/>
      <c r="U3" s="645" t="s">
        <v>2</v>
      </c>
      <c r="V3" s="645" t="s">
        <v>160</v>
      </c>
      <c r="W3" s="612" t="s">
        <v>161</v>
      </c>
      <c r="X3" s="612"/>
      <c r="Y3" s="646" t="s">
        <v>162</v>
      </c>
      <c r="Z3" s="611"/>
      <c r="AA3" s="647" t="s">
        <v>163</v>
      </c>
      <c r="AB3" s="648"/>
      <c r="AC3" s="646" t="s">
        <v>164</v>
      </c>
      <c r="AD3" s="611"/>
      <c r="AE3" s="641" t="s">
        <v>151</v>
      </c>
      <c r="AF3" s="642" t="s">
        <v>158</v>
      </c>
      <c r="AG3" s="621" t="s">
        <v>165</v>
      </c>
    </row>
    <row r="4" spans="1:33" ht="15.75" customHeight="1">
      <c r="A4" s="612"/>
      <c r="B4" s="612"/>
      <c r="C4" s="612"/>
      <c r="D4" s="612"/>
      <c r="E4" s="653"/>
      <c r="F4" s="612"/>
      <c r="G4" s="653"/>
      <c r="H4" s="645"/>
      <c r="I4" s="644"/>
      <c r="J4" s="641"/>
      <c r="K4" s="650"/>
      <c r="L4" s="644"/>
      <c r="M4" s="641"/>
      <c r="N4" s="650"/>
      <c r="O4" s="644"/>
      <c r="P4" s="650"/>
      <c r="Q4" s="642"/>
      <c r="R4" s="621"/>
      <c r="S4" s="104" t="s">
        <v>3</v>
      </c>
      <c r="T4" s="104" t="s">
        <v>4</v>
      </c>
      <c r="U4" s="645"/>
      <c r="V4" s="645"/>
      <c r="W4" s="96" t="s">
        <v>166</v>
      </c>
      <c r="X4" s="96" t="s">
        <v>167</v>
      </c>
      <c r="Y4" s="94" t="s">
        <v>168</v>
      </c>
      <c r="Z4" s="94" t="s">
        <v>169</v>
      </c>
      <c r="AA4" s="649"/>
      <c r="AB4" s="648"/>
      <c r="AC4" s="94" t="s">
        <v>170</v>
      </c>
      <c r="AD4" s="94" t="s">
        <v>171</v>
      </c>
      <c r="AE4" s="641"/>
      <c r="AF4" s="642"/>
      <c r="AG4" s="621"/>
    </row>
    <row r="5" spans="1:33">
      <c r="A5" s="643" t="s">
        <v>172</v>
      </c>
      <c r="B5" s="27" t="s">
        <v>5</v>
      </c>
      <c r="C5" s="657" t="s">
        <v>14</v>
      </c>
      <c r="D5" s="657"/>
      <c r="E5" s="27">
        <v>50.92</v>
      </c>
      <c r="F5" s="104">
        <v>2071</v>
      </c>
      <c r="G5" s="96">
        <f t="shared" ref="G5:G6" si="0">E5*F5</f>
        <v>105455.32</v>
      </c>
      <c r="H5" s="31" t="s">
        <v>40</v>
      </c>
      <c r="I5" s="102">
        <v>15</v>
      </c>
      <c r="J5" s="29">
        <v>2000</v>
      </c>
      <c r="K5" s="12">
        <f t="shared" ref="K5:K68" si="1">J5/I5</f>
        <v>133.33333333333334</v>
      </c>
      <c r="L5" s="102">
        <v>15</v>
      </c>
      <c r="M5" s="13">
        <f t="shared" ref="M5:M6" si="2">F5/V5*60</f>
        <v>1911.6923076923099</v>
      </c>
      <c r="N5" s="12">
        <f t="shared" ref="N5:N68" si="3">M5/L5</f>
        <v>127.44615384615399</v>
      </c>
      <c r="O5" s="14">
        <f t="shared" ref="O5:O68" si="4">L5-I5</f>
        <v>0</v>
      </c>
      <c r="P5" s="15">
        <f t="shared" ref="P5:P68" si="5">N5-K5</f>
        <v>-5.8871794871793526</v>
      </c>
      <c r="Q5" s="95">
        <f t="shared" ref="Q5:Q68" si="6">N5/K5</f>
        <v>0.9558461538461549</v>
      </c>
      <c r="R5" s="616">
        <f>Q7</f>
        <v>0.95748829431438243</v>
      </c>
      <c r="S5" s="32">
        <v>0.70833333333333337</v>
      </c>
      <c r="T5" s="32">
        <v>0.75347222222222221</v>
      </c>
      <c r="U5" s="96"/>
      <c r="V5" s="103">
        <f t="shared" ref="V5:V6" si="7">(T5-S5)*24*60</f>
        <v>64.999999999999929</v>
      </c>
      <c r="W5" s="16"/>
      <c r="X5" s="17"/>
      <c r="Y5" s="17"/>
      <c r="Z5" s="17"/>
      <c r="AA5" s="612"/>
      <c r="AB5" s="612"/>
      <c r="AC5" s="18">
        <v>2</v>
      </c>
      <c r="AD5" s="18"/>
      <c r="AE5" s="14">
        <f t="shared" ref="AE5:AE55" si="8">M5-J5</f>
        <v>-88.307692307690104</v>
      </c>
      <c r="AF5" s="95">
        <f t="shared" ref="AF5:AF68" si="9">M5/J5</f>
        <v>0.9558461538461549</v>
      </c>
      <c r="AG5" s="616">
        <f>AF7</f>
        <v>0.95748829431438243</v>
      </c>
    </row>
    <row r="6" spans="1:33">
      <c r="A6" s="644" t="s">
        <v>173</v>
      </c>
      <c r="B6" s="27" t="s">
        <v>5</v>
      </c>
      <c r="C6" s="657" t="s">
        <v>19</v>
      </c>
      <c r="D6" s="657"/>
      <c r="E6" s="27">
        <v>50.98</v>
      </c>
      <c r="F6" s="104">
        <v>2206</v>
      </c>
      <c r="G6" s="96">
        <f t="shared" si="0"/>
        <v>112461.87999999999</v>
      </c>
      <c r="H6" s="31" t="s">
        <v>40</v>
      </c>
      <c r="I6" s="102">
        <v>16</v>
      </c>
      <c r="J6" s="29">
        <v>2000</v>
      </c>
      <c r="K6" s="12">
        <f t="shared" si="1"/>
        <v>125</v>
      </c>
      <c r="L6" s="102">
        <v>16</v>
      </c>
      <c r="M6" s="13">
        <f t="shared" si="2"/>
        <v>1918.2608695652198</v>
      </c>
      <c r="N6" s="12">
        <f t="shared" si="3"/>
        <v>119.89130434782624</v>
      </c>
      <c r="O6" s="14">
        <f t="shared" si="4"/>
        <v>0</v>
      </c>
      <c r="P6" s="15">
        <f t="shared" si="5"/>
        <v>-5.1086956521737648</v>
      </c>
      <c r="Q6" s="95">
        <f t="shared" si="6"/>
        <v>0.95913043478260984</v>
      </c>
      <c r="R6" s="616"/>
      <c r="S6" s="32">
        <v>0.75694444444444442</v>
      </c>
      <c r="T6" s="32">
        <v>0.80486111111111103</v>
      </c>
      <c r="U6" s="96">
        <f t="shared" ref="U6" si="10">IF(S6=TIME(17,0,0),"",(S6-T5)*24*60)</f>
        <v>4.9999999999999822</v>
      </c>
      <c r="V6" s="103">
        <f t="shared" si="7"/>
        <v>68.999999999999915</v>
      </c>
      <c r="W6" s="16"/>
      <c r="X6" s="16"/>
      <c r="Y6" s="16"/>
      <c r="Z6" s="16"/>
      <c r="AA6" s="612"/>
      <c r="AB6" s="612"/>
      <c r="AC6" s="18"/>
      <c r="AD6" s="18"/>
      <c r="AE6" s="14">
        <f t="shared" si="8"/>
        <v>-81.739130434780236</v>
      </c>
      <c r="AF6" s="95">
        <f t="shared" si="9"/>
        <v>0.95913043478260984</v>
      </c>
      <c r="AG6" s="616"/>
    </row>
    <row r="7" spans="1:33">
      <c r="A7" s="644" t="s">
        <v>173</v>
      </c>
      <c r="B7" s="27" t="s">
        <v>174</v>
      </c>
      <c r="C7" s="658"/>
      <c r="D7" s="658"/>
      <c r="E7" s="97"/>
      <c r="F7" s="28"/>
      <c r="G7" s="12"/>
      <c r="H7" s="104"/>
      <c r="I7" s="21">
        <v>15.5</v>
      </c>
      <c r="J7" s="29">
        <v>2000</v>
      </c>
      <c r="K7" s="12">
        <f t="shared" si="1"/>
        <v>129.03225806451613</v>
      </c>
      <c r="L7" s="21">
        <v>15.5</v>
      </c>
      <c r="M7" s="13">
        <f>AVERAGE(M5:M6)</f>
        <v>1914.9765886287648</v>
      </c>
      <c r="N7" s="12">
        <f t="shared" si="3"/>
        <v>123.54687668572676</v>
      </c>
      <c r="O7" s="14">
        <f t="shared" si="4"/>
        <v>0</v>
      </c>
      <c r="P7" s="15">
        <f t="shared" si="5"/>
        <v>-5.4853813787893699</v>
      </c>
      <c r="Q7" s="95">
        <f t="shared" si="6"/>
        <v>0.95748829431438243</v>
      </c>
      <c r="R7" s="616"/>
      <c r="S7" s="32"/>
      <c r="T7" s="32"/>
      <c r="U7" s="96"/>
      <c r="V7" s="103"/>
      <c r="W7" s="12"/>
      <c r="X7" s="12"/>
      <c r="Y7" s="22">
        <f>SUM(Y5:Y6)</f>
        <v>0</v>
      </c>
      <c r="Z7" s="22">
        <f>SUM(Z5:Z6)</f>
        <v>0</v>
      </c>
      <c r="AA7" s="611"/>
      <c r="AB7" s="611"/>
      <c r="AC7" s="22">
        <v>2</v>
      </c>
      <c r="AD7" s="22">
        <f>SUM(AD5:AD6)</f>
        <v>0</v>
      </c>
      <c r="AE7" s="14">
        <f t="shared" si="8"/>
        <v>-85.02341137123517</v>
      </c>
      <c r="AF7" s="95">
        <f t="shared" si="9"/>
        <v>0.95748829431438243</v>
      </c>
      <c r="AG7" s="616"/>
    </row>
    <row r="8" spans="1:33" ht="15.75" customHeight="1">
      <c r="A8" s="640" t="s">
        <v>175</v>
      </c>
      <c r="B8" s="27" t="s">
        <v>8</v>
      </c>
      <c r="C8" s="638" t="s">
        <v>9</v>
      </c>
      <c r="D8" s="639"/>
      <c r="E8" s="27">
        <v>39.619999999999997</v>
      </c>
      <c r="F8" s="104">
        <v>4389</v>
      </c>
      <c r="G8" s="96">
        <f t="shared" ref="G8:G11" si="11">E8*F8</f>
        <v>173892.18</v>
      </c>
      <c r="H8" s="31" t="s">
        <v>40</v>
      </c>
      <c r="I8" s="102">
        <v>19</v>
      </c>
      <c r="J8" s="29">
        <v>1500</v>
      </c>
      <c r="K8" s="12">
        <f t="shared" si="1"/>
        <v>78.94736842105263</v>
      </c>
      <c r="L8" s="102">
        <v>19</v>
      </c>
      <c r="M8" s="13">
        <f t="shared" ref="M8:M11" si="12">F8/V8*60</f>
        <v>1431.195652173913</v>
      </c>
      <c r="N8" s="12">
        <f t="shared" si="3"/>
        <v>75.326086956521735</v>
      </c>
      <c r="O8" s="14">
        <f t="shared" si="4"/>
        <v>0</v>
      </c>
      <c r="P8" s="15">
        <f t="shared" si="5"/>
        <v>-3.6212814645308953</v>
      </c>
      <c r="Q8" s="95">
        <f t="shared" si="6"/>
        <v>0.95413043478260862</v>
      </c>
      <c r="R8" s="616">
        <f>Q12</f>
        <v>0.9557083185909806</v>
      </c>
      <c r="S8" s="32">
        <v>0.125</v>
      </c>
      <c r="T8" s="32">
        <v>0.25277777777777777</v>
      </c>
      <c r="U8" s="96"/>
      <c r="V8" s="103">
        <f t="shared" ref="V8:V11" si="13">(T8-S8)*24*60</f>
        <v>184</v>
      </c>
      <c r="W8" s="16">
        <f>T8</f>
        <v>0.25277777777777777</v>
      </c>
      <c r="X8" s="16">
        <f>S9</f>
        <v>0.2722222222222222</v>
      </c>
      <c r="Y8" s="16"/>
      <c r="Z8" s="16"/>
      <c r="AA8" s="612"/>
      <c r="AB8" s="612"/>
      <c r="AC8" s="18">
        <v>4</v>
      </c>
      <c r="AD8" s="18"/>
      <c r="AE8" s="14">
        <f t="shared" si="8"/>
        <v>-68.804347826086996</v>
      </c>
      <c r="AF8" s="95">
        <f t="shared" si="9"/>
        <v>0.95413043478260862</v>
      </c>
      <c r="AG8" s="616">
        <f>AF12</f>
        <v>0.95570831859098049</v>
      </c>
    </row>
    <row r="9" spans="1:33" ht="15.75" customHeight="1">
      <c r="A9" s="640" t="s">
        <v>176</v>
      </c>
      <c r="B9" s="27" t="s">
        <v>8</v>
      </c>
      <c r="C9" s="638" t="s">
        <v>63</v>
      </c>
      <c r="D9" s="639"/>
      <c r="E9" s="27">
        <v>39.46</v>
      </c>
      <c r="F9" s="104">
        <v>3869</v>
      </c>
      <c r="G9" s="96">
        <f t="shared" si="11"/>
        <v>152670.74</v>
      </c>
      <c r="H9" s="31" t="s">
        <v>40</v>
      </c>
      <c r="I9" s="102">
        <v>15</v>
      </c>
      <c r="J9" s="29">
        <v>1500</v>
      </c>
      <c r="K9" s="12">
        <f t="shared" si="1"/>
        <v>100</v>
      </c>
      <c r="L9" s="102">
        <v>15</v>
      </c>
      <c r="M9" s="13">
        <f t="shared" si="12"/>
        <v>1432.962962962963</v>
      </c>
      <c r="N9" s="12">
        <f t="shared" si="3"/>
        <v>95.530864197530875</v>
      </c>
      <c r="O9" s="14">
        <f t="shared" si="4"/>
        <v>0</v>
      </c>
      <c r="P9" s="15">
        <f t="shared" si="5"/>
        <v>-4.4691358024691255</v>
      </c>
      <c r="Q9" s="95">
        <f t="shared" si="6"/>
        <v>0.95530864197530874</v>
      </c>
      <c r="R9" s="616"/>
      <c r="S9" s="32">
        <v>0.2722222222222222</v>
      </c>
      <c r="T9" s="32">
        <v>0.38472222222222219</v>
      </c>
      <c r="U9" s="96">
        <f t="shared" ref="U9:U11" si="14">IF(S9=TIME(17,0,0),"",(S9-T8)*24*60)</f>
        <v>27.999999999999979</v>
      </c>
      <c r="V9" s="103">
        <f t="shared" si="13"/>
        <v>161.99999999999997</v>
      </c>
      <c r="W9" s="16"/>
      <c r="X9" s="16"/>
      <c r="Y9" s="16"/>
      <c r="Z9" s="16"/>
      <c r="AA9" s="612"/>
      <c r="AB9" s="612"/>
      <c r="AC9" s="18"/>
      <c r="AD9" s="18"/>
      <c r="AE9" s="14">
        <f t="shared" si="8"/>
        <v>-67.037037037036953</v>
      </c>
      <c r="AF9" s="95">
        <f t="shared" si="9"/>
        <v>0.95530864197530874</v>
      </c>
      <c r="AG9" s="616"/>
    </row>
    <row r="10" spans="1:33" ht="15.75" customHeight="1">
      <c r="A10" s="640" t="s">
        <v>176</v>
      </c>
      <c r="B10" s="27" t="s">
        <v>8</v>
      </c>
      <c r="C10" s="638" t="s">
        <v>10</v>
      </c>
      <c r="D10" s="639"/>
      <c r="E10" s="27">
        <v>39.799999999999997</v>
      </c>
      <c r="F10" s="104">
        <v>3800</v>
      </c>
      <c r="G10" s="96">
        <f t="shared" si="11"/>
        <v>151240</v>
      </c>
      <c r="H10" s="31">
        <v>2</v>
      </c>
      <c r="I10" s="102">
        <v>17</v>
      </c>
      <c r="J10" s="29">
        <v>1500</v>
      </c>
      <c r="K10" s="12">
        <f t="shared" si="1"/>
        <v>88.235294117647058</v>
      </c>
      <c r="L10" s="102">
        <v>17</v>
      </c>
      <c r="M10" s="13">
        <f t="shared" si="12"/>
        <v>1433.9622641509434</v>
      </c>
      <c r="N10" s="12">
        <f t="shared" si="3"/>
        <v>84.350721420643723</v>
      </c>
      <c r="O10" s="14">
        <f t="shared" si="4"/>
        <v>0</v>
      </c>
      <c r="P10" s="15">
        <f t="shared" si="5"/>
        <v>-3.8845726970033354</v>
      </c>
      <c r="Q10" s="95">
        <f t="shared" si="6"/>
        <v>0.9559748427672955</v>
      </c>
      <c r="R10" s="616"/>
      <c r="S10" s="32">
        <v>0.3881944444444444</v>
      </c>
      <c r="T10" s="32">
        <v>0.49861111111111106</v>
      </c>
      <c r="U10" s="96">
        <f t="shared" si="14"/>
        <v>4.9999999999999822</v>
      </c>
      <c r="V10" s="103">
        <f t="shared" si="13"/>
        <v>159</v>
      </c>
      <c r="W10" s="16">
        <f>T10</f>
        <v>0.49861111111111106</v>
      </c>
      <c r="X10" s="16">
        <f>S11</f>
        <v>0.5395833333333333</v>
      </c>
      <c r="Y10" s="16"/>
      <c r="Z10" s="16"/>
      <c r="AA10" s="612"/>
      <c r="AB10" s="612"/>
      <c r="AC10" s="18"/>
      <c r="AD10" s="18"/>
      <c r="AE10" s="14">
        <f t="shared" si="8"/>
        <v>-66.037735849056617</v>
      </c>
      <c r="AF10" s="95">
        <f t="shared" si="9"/>
        <v>0.95597484276729561</v>
      </c>
      <c r="AG10" s="616"/>
    </row>
    <row r="11" spans="1:33" ht="15.75" customHeight="1">
      <c r="A11" s="640" t="s">
        <v>176</v>
      </c>
      <c r="B11" s="27" t="s">
        <v>8</v>
      </c>
      <c r="C11" s="638" t="s">
        <v>10</v>
      </c>
      <c r="D11" s="639"/>
      <c r="E11" s="27">
        <v>39.799999999999997</v>
      </c>
      <c r="F11" s="104">
        <v>2968</v>
      </c>
      <c r="G11" s="96">
        <f t="shared" si="11"/>
        <v>118126.39999999999</v>
      </c>
      <c r="H11" s="31" t="s">
        <v>40</v>
      </c>
      <c r="I11" s="102">
        <v>17</v>
      </c>
      <c r="J11" s="29">
        <v>1500</v>
      </c>
      <c r="K11" s="12">
        <f t="shared" si="1"/>
        <v>88.235294117647058</v>
      </c>
      <c r="L11" s="102">
        <v>17</v>
      </c>
      <c r="M11" s="13">
        <f t="shared" si="12"/>
        <v>1436.1290322580639</v>
      </c>
      <c r="N11" s="12">
        <f t="shared" si="3"/>
        <v>84.478178368121405</v>
      </c>
      <c r="O11" s="14">
        <f t="shared" si="4"/>
        <v>0</v>
      </c>
      <c r="P11" s="15">
        <f t="shared" si="5"/>
        <v>-3.7571157495256529</v>
      </c>
      <c r="Q11" s="95">
        <f t="shared" si="6"/>
        <v>0.95741935483870921</v>
      </c>
      <c r="R11" s="616"/>
      <c r="S11" s="32">
        <v>0.5395833333333333</v>
      </c>
      <c r="T11" s="32">
        <v>0.62569444444444444</v>
      </c>
      <c r="U11" s="96">
        <f t="shared" si="14"/>
        <v>59.000000000000028</v>
      </c>
      <c r="V11" s="103">
        <f t="shared" si="13"/>
        <v>124.00000000000004</v>
      </c>
      <c r="W11" s="16"/>
      <c r="X11" s="16"/>
      <c r="Y11" s="16"/>
      <c r="Z11" s="16"/>
      <c r="AA11" s="607"/>
      <c r="AB11" s="608"/>
      <c r="AC11" s="18"/>
      <c r="AD11" s="18"/>
      <c r="AE11" s="14">
        <f t="shared" si="8"/>
        <v>-63.870967741936056</v>
      </c>
      <c r="AF11" s="95">
        <f t="shared" si="9"/>
        <v>0.95741935483870932</v>
      </c>
      <c r="AG11" s="616"/>
    </row>
    <row r="12" spans="1:33" ht="16.5" customHeight="1">
      <c r="A12" s="640" t="s">
        <v>176</v>
      </c>
      <c r="B12" s="27" t="s">
        <v>177</v>
      </c>
      <c r="C12" s="658"/>
      <c r="D12" s="658"/>
      <c r="E12" s="97"/>
      <c r="F12" s="29"/>
      <c r="G12" s="13"/>
      <c r="H12" s="104"/>
      <c r="I12" s="21">
        <v>17</v>
      </c>
      <c r="J12" s="29">
        <v>1500</v>
      </c>
      <c r="K12" s="12">
        <f t="shared" si="1"/>
        <v>88.235294117647058</v>
      </c>
      <c r="L12" s="21">
        <v>17</v>
      </c>
      <c r="M12" s="13">
        <f>AVERAGE(M8:M11)</f>
        <v>1433.5624778864708</v>
      </c>
      <c r="N12" s="12">
        <f t="shared" si="3"/>
        <v>84.327204581557112</v>
      </c>
      <c r="O12" s="14">
        <f t="shared" si="4"/>
        <v>0</v>
      </c>
      <c r="P12" s="15">
        <f t="shared" si="5"/>
        <v>-3.9080895360899461</v>
      </c>
      <c r="Q12" s="95">
        <f t="shared" si="6"/>
        <v>0.9557083185909806</v>
      </c>
      <c r="R12" s="616"/>
      <c r="S12" s="32"/>
      <c r="T12" s="32"/>
      <c r="U12" s="12"/>
      <c r="V12" s="103"/>
      <c r="W12" s="12"/>
      <c r="X12" s="12"/>
      <c r="Y12" s="22">
        <f>SUM(Y8:Y11)</f>
        <v>0</v>
      </c>
      <c r="Z12" s="22">
        <f>SUM(Z8:Z11)</f>
        <v>0</v>
      </c>
      <c r="AA12" s="611"/>
      <c r="AB12" s="611"/>
      <c r="AC12" s="22">
        <v>4</v>
      </c>
      <c r="AD12" s="22">
        <f>SUM(AD8:AD11)</f>
        <v>0</v>
      </c>
      <c r="AE12" s="14">
        <f t="shared" si="8"/>
        <v>-66.437522113529212</v>
      </c>
      <c r="AF12" s="95">
        <f t="shared" si="9"/>
        <v>0.95570831859098049</v>
      </c>
      <c r="AG12" s="616"/>
    </row>
    <row r="13" spans="1:33" ht="16.5" customHeight="1">
      <c r="A13" s="636" t="s">
        <v>178</v>
      </c>
      <c r="B13" s="104" t="s">
        <v>11</v>
      </c>
      <c r="C13" s="659" t="s">
        <v>67</v>
      </c>
      <c r="D13" s="659"/>
      <c r="E13" s="27">
        <v>38.619999999999997</v>
      </c>
      <c r="F13" s="104">
        <v>2403</v>
      </c>
      <c r="G13" s="96">
        <f t="shared" ref="G13:G19" si="15">E13*F13</f>
        <v>92803.86</v>
      </c>
      <c r="H13" s="31" t="s">
        <v>40</v>
      </c>
      <c r="I13" s="102">
        <v>24</v>
      </c>
      <c r="J13" s="29">
        <v>1500</v>
      </c>
      <c r="K13" s="12">
        <f t="shared" si="1"/>
        <v>62.5</v>
      </c>
      <c r="L13" s="102">
        <v>24</v>
      </c>
      <c r="M13" s="13">
        <f t="shared" ref="M13:M19" si="16">F13/V13*60</f>
        <v>1441.8</v>
      </c>
      <c r="N13" s="12">
        <f t="shared" si="3"/>
        <v>60.074999999999996</v>
      </c>
      <c r="O13" s="14">
        <f t="shared" si="4"/>
        <v>0</v>
      </c>
      <c r="P13" s="15">
        <f t="shared" si="5"/>
        <v>-2.4250000000000043</v>
      </c>
      <c r="Q13" s="95">
        <f t="shared" si="6"/>
        <v>0.96119999999999994</v>
      </c>
      <c r="R13" s="616">
        <f>Q20</f>
        <v>0.95662075886104292</v>
      </c>
      <c r="S13" s="32">
        <v>8.3333333333333329E-2</v>
      </c>
      <c r="T13" s="32">
        <v>0.15277777777777779</v>
      </c>
      <c r="U13" s="96"/>
      <c r="V13" s="103">
        <f t="shared" ref="V13:V19" si="17">(T13-S13)*24*60</f>
        <v>100.00000000000001</v>
      </c>
      <c r="W13" s="16">
        <f>T13</f>
        <v>0.15277777777777779</v>
      </c>
      <c r="X13" s="16">
        <f>S14</f>
        <v>0.17152777777777781</v>
      </c>
      <c r="Y13" s="20"/>
      <c r="Z13" s="20"/>
      <c r="AA13" s="612"/>
      <c r="AB13" s="612"/>
      <c r="AC13" s="18">
        <v>7</v>
      </c>
      <c r="AD13" s="18"/>
      <c r="AE13" s="14">
        <f t="shared" si="8"/>
        <v>-58.200000000000045</v>
      </c>
      <c r="AF13" s="95">
        <f t="shared" si="9"/>
        <v>0.96119999999999994</v>
      </c>
      <c r="AG13" s="616">
        <f>AF20</f>
        <v>0.95662075886104281</v>
      </c>
    </row>
    <row r="14" spans="1:33" ht="16.5" customHeight="1">
      <c r="A14" s="637" t="s">
        <v>178</v>
      </c>
      <c r="B14" s="104" t="s">
        <v>11</v>
      </c>
      <c r="C14" s="659" t="s">
        <v>12</v>
      </c>
      <c r="D14" s="659"/>
      <c r="E14" s="27">
        <v>41</v>
      </c>
      <c r="F14" s="104">
        <v>1953</v>
      </c>
      <c r="G14" s="96">
        <f t="shared" si="15"/>
        <v>80073</v>
      </c>
      <c r="H14" s="31" t="s">
        <v>40</v>
      </c>
      <c r="I14" s="102">
        <v>26</v>
      </c>
      <c r="J14" s="29">
        <v>1500</v>
      </c>
      <c r="K14" s="12">
        <f t="shared" si="1"/>
        <v>57.692307692307693</v>
      </c>
      <c r="L14" s="102">
        <v>26</v>
      </c>
      <c r="M14" s="13">
        <f t="shared" si="16"/>
        <v>1429.0243902439026</v>
      </c>
      <c r="N14" s="12">
        <f t="shared" si="3"/>
        <v>54.962476547842407</v>
      </c>
      <c r="O14" s="14">
        <f t="shared" si="4"/>
        <v>0</v>
      </c>
      <c r="P14" s="15">
        <f t="shared" si="5"/>
        <v>-2.7298311444652867</v>
      </c>
      <c r="Q14" s="95">
        <f t="shared" si="6"/>
        <v>0.95268292682926836</v>
      </c>
      <c r="R14" s="616"/>
      <c r="S14" s="32">
        <v>0.17152777777777781</v>
      </c>
      <c r="T14" s="32">
        <v>0.22847222222222224</v>
      </c>
      <c r="U14" s="96">
        <f t="shared" ref="U14:U19" si="18">IF(S14=TIME(17,0,0),"",(S14-T13)*24*60)</f>
        <v>27.000000000000025</v>
      </c>
      <c r="V14" s="103">
        <f t="shared" si="17"/>
        <v>81.999999999999986</v>
      </c>
      <c r="W14" s="16"/>
      <c r="X14" s="16"/>
      <c r="Y14" s="16"/>
      <c r="Z14" s="16"/>
      <c r="AA14" s="612"/>
      <c r="AB14" s="612"/>
      <c r="AC14" s="18"/>
      <c r="AD14" s="18"/>
      <c r="AE14" s="14">
        <f t="shared" si="8"/>
        <v>-70.975609756097356</v>
      </c>
      <c r="AF14" s="95">
        <f t="shared" si="9"/>
        <v>0.95268292682926847</v>
      </c>
      <c r="AG14" s="616"/>
    </row>
    <row r="15" spans="1:33" ht="16.5" customHeight="1">
      <c r="A15" s="637" t="s">
        <v>178</v>
      </c>
      <c r="B15" s="104" t="s">
        <v>5</v>
      </c>
      <c r="C15" s="659" t="s">
        <v>66</v>
      </c>
      <c r="D15" s="659"/>
      <c r="E15" s="27">
        <v>37.03</v>
      </c>
      <c r="F15" s="104">
        <v>3565</v>
      </c>
      <c r="G15" s="96">
        <f t="shared" si="15"/>
        <v>132011.95000000001</v>
      </c>
      <c r="H15" s="31" t="s">
        <v>40</v>
      </c>
      <c r="I15" s="102">
        <v>13</v>
      </c>
      <c r="J15" s="29">
        <v>1500</v>
      </c>
      <c r="K15" s="12">
        <f t="shared" si="1"/>
        <v>115.38461538461539</v>
      </c>
      <c r="L15" s="102">
        <v>13</v>
      </c>
      <c r="M15" s="13">
        <f t="shared" si="16"/>
        <v>1435.5704697986578</v>
      </c>
      <c r="N15" s="12">
        <f t="shared" si="3"/>
        <v>110.42849767681983</v>
      </c>
      <c r="O15" s="14">
        <f t="shared" si="4"/>
        <v>0</v>
      </c>
      <c r="P15" s="15">
        <f t="shared" si="5"/>
        <v>-4.9561177077955563</v>
      </c>
      <c r="Q15" s="95">
        <f t="shared" si="6"/>
        <v>0.95704697986577181</v>
      </c>
      <c r="R15" s="616"/>
      <c r="S15" s="32">
        <v>0.23402777777777781</v>
      </c>
      <c r="T15" s="32">
        <v>0.33750000000000002</v>
      </c>
      <c r="U15" s="96">
        <f t="shared" si="18"/>
        <v>8.0000000000000107</v>
      </c>
      <c r="V15" s="103">
        <f t="shared" si="17"/>
        <v>149</v>
      </c>
      <c r="W15" s="16"/>
      <c r="X15" s="16"/>
      <c r="Y15" s="16"/>
      <c r="Z15" s="16"/>
      <c r="AA15" s="612"/>
      <c r="AB15" s="612"/>
      <c r="AC15" s="18"/>
      <c r="AD15" s="18"/>
      <c r="AE15" s="14">
        <f t="shared" si="8"/>
        <v>-64.429530201342232</v>
      </c>
      <c r="AF15" s="95">
        <f t="shared" si="9"/>
        <v>0.95704697986577181</v>
      </c>
      <c r="AG15" s="616"/>
    </row>
    <row r="16" spans="1:33" ht="16.5" customHeight="1">
      <c r="A16" s="637" t="s">
        <v>178</v>
      </c>
      <c r="B16" s="104" t="s">
        <v>8</v>
      </c>
      <c r="C16" s="659" t="s">
        <v>74</v>
      </c>
      <c r="D16" s="659"/>
      <c r="E16" s="27">
        <v>39.520000000000003</v>
      </c>
      <c r="F16" s="104">
        <v>3088</v>
      </c>
      <c r="G16" s="96">
        <f t="shared" si="15"/>
        <v>122037.76000000001</v>
      </c>
      <c r="H16" s="31" t="s">
        <v>40</v>
      </c>
      <c r="I16" s="102">
        <v>19</v>
      </c>
      <c r="J16" s="29">
        <v>1500</v>
      </c>
      <c r="K16" s="12">
        <f t="shared" si="1"/>
        <v>78.94736842105263</v>
      </c>
      <c r="L16" s="102">
        <v>19</v>
      </c>
      <c r="M16" s="13">
        <f t="shared" si="16"/>
        <v>1425.2307692307688</v>
      </c>
      <c r="N16" s="12">
        <f t="shared" si="3"/>
        <v>75.012145748987834</v>
      </c>
      <c r="O16" s="14">
        <f t="shared" si="4"/>
        <v>0</v>
      </c>
      <c r="P16" s="15">
        <f t="shared" si="5"/>
        <v>-3.9352226720647963</v>
      </c>
      <c r="Q16" s="95">
        <f t="shared" si="6"/>
        <v>0.9501538461538459</v>
      </c>
      <c r="R16" s="616"/>
      <c r="S16" s="32">
        <v>0.34236111111111112</v>
      </c>
      <c r="T16" s="32">
        <v>0.43263888888888891</v>
      </c>
      <c r="U16" s="96">
        <f t="shared" si="18"/>
        <v>6.9999999999999751</v>
      </c>
      <c r="V16" s="103">
        <f t="shared" si="17"/>
        <v>130.00000000000003</v>
      </c>
      <c r="W16" s="16"/>
      <c r="X16" s="16"/>
      <c r="Y16" s="16"/>
      <c r="Z16" s="16"/>
      <c r="AA16" s="612"/>
      <c r="AB16" s="612"/>
      <c r="AC16" s="18"/>
      <c r="AD16" s="18"/>
      <c r="AE16" s="14">
        <f t="shared" si="8"/>
        <v>-74.769230769231172</v>
      </c>
      <c r="AF16" s="95">
        <f t="shared" si="9"/>
        <v>0.9501538461538459</v>
      </c>
      <c r="AG16" s="616"/>
    </row>
    <row r="17" spans="1:33" ht="16.5" customHeight="1">
      <c r="A17" s="637" t="s">
        <v>178</v>
      </c>
      <c r="B17" s="104" t="s">
        <v>5</v>
      </c>
      <c r="C17" s="659" t="s">
        <v>13</v>
      </c>
      <c r="D17" s="659"/>
      <c r="E17" s="27">
        <v>53.68</v>
      </c>
      <c r="F17" s="104">
        <v>991</v>
      </c>
      <c r="G17" s="96">
        <f t="shared" si="15"/>
        <v>53196.88</v>
      </c>
      <c r="H17" s="31" t="s">
        <v>40</v>
      </c>
      <c r="I17" s="102">
        <v>16</v>
      </c>
      <c r="J17" s="29">
        <v>1500</v>
      </c>
      <c r="K17" s="12">
        <f t="shared" si="1"/>
        <v>93.75</v>
      </c>
      <c r="L17" s="102">
        <v>16</v>
      </c>
      <c r="M17" s="13">
        <f t="shared" si="16"/>
        <v>1450.2439024390237</v>
      </c>
      <c r="N17" s="12">
        <f t="shared" si="3"/>
        <v>90.640243902438982</v>
      </c>
      <c r="O17" s="14">
        <f t="shared" si="4"/>
        <v>0</v>
      </c>
      <c r="P17" s="15">
        <f t="shared" si="5"/>
        <v>-3.1097560975610179</v>
      </c>
      <c r="Q17" s="95">
        <f t="shared" si="6"/>
        <v>0.96682926829268245</v>
      </c>
      <c r="R17" s="616"/>
      <c r="S17" s="32">
        <v>0.70833333333333337</v>
      </c>
      <c r="T17" s="32">
        <v>0.7368055555555556</v>
      </c>
      <c r="U17" s="96" t="str">
        <f t="shared" si="18"/>
        <v/>
      </c>
      <c r="V17" s="103">
        <f t="shared" si="17"/>
        <v>41.000000000000014</v>
      </c>
      <c r="W17" s="16"/>
      <c r="X17" s="16"/>
      <c r="Y17" s="16"/>
      <c r="Z17" s="16"/>
      <c r="AA17" s="612"/>
      <c r="AB17" s="612"/>
      <c r="AC17" s="18"/>
      <c r="AD17" s="18"/>
      <c r="AE17" s="14">
        <f t="shared" si="8"/>
        <v>-49.756097560976286</v>
      </c>
      <c r="AF17" s="95">
        <f t="shared" si="9"/>
        <v>0.96682926829268245</v>
      </c>
      <c r="AG17" s="616"/>
    </row>
    <row r="18" spans="1:33" ht="16.5" customHeight="1">
      <c r="A18" s="637" t="s">
        <v>178</v>
      </c>
      <c r="B18" s="104" t="s">
        <v>5</v>
      </c>
      <c r="C18" s="106" t="s">
        <v>6</v>
      </c>
      <c r="D18" s="107"/>
      <c r="E18" s="27">
        <v>50.67</v>
      </c>
      <c r="F18" s="104">
        <v>1461</v>
      </c>
      <c r="G18" s="96">
        <f t="shared" si="15"/>
        <v>74028.87</v>
      </c>
      <c r="H18" s="31" t="s">
        <v>40</v>
      </c>
      <c r="I18" s="102">
        <v>17</v>
      </c>
      <c r="J18" s="29">
        <v>2000</v>
      </c>
      <c r="K18" s="12">
        <f t="shared" si="1"/>
        <v>117.64705882352941</v>
      </c>
      <c r="L18" s="102">
        <v>17</v>
      </c>
      <c r="M18" s="13">
        <f t="shared" si="16"/>
        <v>1905.6521739130435</v>
      </c>
      <c r="N18" s="12">
        <f t="shared" si="3"/>
        <v>112.09718670076727</v>
      </c>
      <c r="O18" s="14">
        <f t="shared" si="4"/>
        <v>0</v>
      </c>
      <c r="P18" s="15">
        <f t="shared" si="5"/>
        <v>-5.5498721227621388</v>
      </c>
      <c r="Q18" s="95">
        <f t="shared" si="6"/>
        <v>0.95282608695652182</v>
      </c>
      <c r="R18" s="616"/>
      <c r="S18" s="32">
        <v>0.74097222222222225</v>
      </c>
      <c r="T18" s="32">
        <v>0.7729166666666667</v>
      </c>
      <c r="U18" s="96">
        <f t="shared" si="18"/>
        <v>5.9999999999999787</v>
      </c>
      <c r="V18" s="103">
        <f t="shared" si="17"/>
        <v>46</v>
      </c>
      <c r="W18" s="16"/>
      <c r="X18" s="16"/>
      <c r="Y18" s="19"/>
      <c r="Z18" s="19"/>
      <c r="AA18" s="100"/>
      <c r="AB18" s="101"/>
      <c r="AC18" s="18"/>
      <c r="AD18" s="18"/>
      <c r="AE18" s="14">
        <f t="shared" si="8"/>
        <v>-94.347826086956502</v>
      </c>
      <c r="AF18" s="95">
        <f t="shared" si="9"/>
        <v>0.95282608695652171</v>
      </c>
      <c r="AG18" s="616"/>
    </row>
    <row r="19" spans="1:33" ht="16.5" customHeight="1">
      <c r="A19" s="637" t="s">
        <v>178</v>
      </c>
      <c r="B19" s="104" t="s">
        <v>5</v>
      </c>
      <c r="C19" s="106" t="s">
        <v>7</v>
      </c>
      <c r="D19" s="107"/>
      <c r="E19" s="27">
        <v>50.67</v>
      </c>
      <c r="F19" s="104">
        <v>1499</v>
      </c>
      <c r="G19" s="96">
        <f t="shared" si="15"/>
        <v>75954.33</v>
      </c>
      <c r="H19" s="31" t="s">
        <v>40</v>
      </c>
      <c r="I19" s="102">
        <v>15</v>
      </c>
      <c r="J19" s="29">
        <v>2000</v>
      </c>
      <c r="K19" s="12">
        <f t="shared" si="1"/>
        <v>133.33333333333334</v>
      </c>
      <c r="L19" s="102">
        <v>15</v>
      </c>
      <c r="M19" s="13">
        <f t="shared" si="16"/>
        <v>1913.617021276596</v>
      </c>
      <c r="N19" s="12">
        <f t="shared" si="3"/>
        <v>127.5744680851064</v>
      </c>
      <c r="O19" s="14">
        <f t="shared" si="4"/>
        <v>0</v>
      </c>
      <c r="P19" s="15">
        <f t="shared" si="5"/>
        <v>-5.7588652482269396</v>
      </c>
      <c r="Q19" s="95">
        <f t="shared" si="6"/>
        <v>0.95680851063829797</v>
      </c>
      <c r="R19" s="616"/>
      <c r="S19" s="32">
        <v>0.77847222222222223</v>
      </c>
      <c r="T19" s="32">
        <v>0.81111111111111112</v>
      </c>
      <c r="U19" s="96">
        <f t="shared" si="18"/>
        <v>7.9999999999999716</v>
      </c>
      <c r="V19" s="103">
        <f t="shared" si="17"/>
        <v>46.999999999999993</v>
      </c>
      <c r="W19" s="16"/>
      <c r="X19" s="16"/>
      <c r="Y19" s="19"/>
      <c r="Z19" s="19"/>
      <c r="AA19" s="100"/>
      <c r="AB19" s="101"/>
      <c r="AC19" s="18"/>
      <c r="AD19" s="18"/>
      <c r="AE19" s="14">
        <f t="shared" si="8"/>
        <v>-86.382978723403994</v>
      </c>
      <c r="AF19" s="95">
        <f t="shared" si="9"/>
        <v>0.95680851063829797</v>
      </c>
      <c r="AG19" s="616"/>
    </row>
    <row r="20" spans="1:33" ht="16.5" customHeight="1">
      <c r="A20" s="637" t="s">
        <v>178</v>
      </c>
      <c r="B20" s="27" t="s">
        <v>177</v>
      </c>
      <c r="C20" s="658"/>
      <c r="D20" s="658"/>
      <c r="E20" s="97"/>
      <c r="F20" s="28"/>
      <c r="G20" s="12"/>
      <c r="H20" s="104"/>
      <c r="I20" s="21">
        <v>18.571428571428573</v>
      </c>
      <c r="J20" s="29">
        <v>1642.8571428571429</v>
      </c>
      <c r="K20" s="12">
        <f t="shared" si="1"/>
        <v>88.461538461538453</v>
      </c>
      <c r="L20" s="21">
        <v>18.571428571428573</v>
      </c>
      <c r="M20" s="13">
        <f>AVERAGE(M13:M19)</f>
        <v>1571.5912467002847</v>
      </c>
      <c r="N20" s="12">
        <f t="shared" si="3"/>
        <v>84.624144053092252</v>
      </c>
      <c r="O20" s="14">
        <f t="shared" si="4"/>
        <v>0</v>
      </c>
      <c r="P20" s="15">
        <f t="shared" si="5"/>
        <v>-3.8373944084462011</v>
      </c>
      <c r="Q20" s="95">
        <f t="shared" si="6"/>
        <v>0.95662075886104292</v>
      </c>
      <c r="R20" s="616"/>
      <c r="S20" s="32"/>
      <c r="T20" s="32"/>
      <c r="U20" s="96"/>
      <c r="V20" s="103"/>
      <c r="W20" s="12"/>
      <c r="X20" s="12"/>
      <c r="Y20" s="22">
        <f>SUM(Y13:Y19)</f>
        <v>0</v>
      </c>
      <c r="Z20" s="22">
        <f>SUM(Z13:Z19)</f>
        <v>0</v>
      </c>
      <c r="AA20" s="611"/>
      <c r="AB20" s="611"/>
      <c r="AC20" s="22">
        <v>7</v>
      </c>
      <c r="AD20" s="22">
        <f>SUM(AD13:AD19)</f>
        <v>0</v>
      </c>
      <c r="AE20" s="14">
        <f t="shared" si="8"/>
        <v>-71.265896156858162</v>
      </c>
      <c r="AF20" s="95">
        <f t="shared" si="9"/>
        <v>0.95662075886104281</v>
      </c>
      <c r="AG20" s="616"/>
    </row>
    <row r="21" spans="1:33" ht="15.75" customHeight="1">
      <c r="A21" s="634" t="s">
        <v>179</v>
      </c>
      <c r="B21" s="27" t="s">
        <v>5</v>
      </c>
      <c r="C21" s="659" t="s">
        <v>16</v>
      </c>
      <c r="D21" s="659"/>
      <c r="E21" s="27">
        <v>50.67</v>
      </c>
      <c r="F21" s="104">
        <v>1859</v>
      </c>
      <c r="G21" s="96">
        <f t="shared" ref="G21:G26" si="19">E21*F21</f>
        <v>94195.53</v>
      </c>
      <c r="H21" s="31" t="s">
        <v>40</v>
      </c>
      <c r="I21" s="102">
        <v>17</v>
      </c>
      <c r="J21" s="29">
        <v>2000</v>
      </c>
      <c r="K21" s="12">
        <f t="shared" si="1"/>
        <v>117.64705882352941</v>
      </c>
      <c r="L21" s="102">
        <v>17</v>
      </c>
      <c r="M21" s="13">
        <f t="shared" ref="M21:M26" si="20">F21/V21*60</f>
        <v>1923.1034482758623</v>
      </c>
      <c r="N21" s="12">
        <f t="shared" si="3"/>
        <v>113.12373225152132</v>
      </c>
      <c r="O21" s="14">
        <f t="shared" si="4"/>
        <v>0</v>
      </c>
      <c r="P21" s="15">
        <f t="shared" si="5"/>
        <v>-4.523326572008088</v>
      </c>
      <c r="Q21" s="95">
        <f t="shared" si="6"/>
        <v>0.96155172413793122</v>
      </c>
      <c r="R21" s="616">
        <f>Q27</f>
        <v>0.96064906916896631</v>
      </c>
      <c r="S21" s="32">
        <v>0.20833333333333334</v>
      </c>
      <c r="T21" s="32">
        <v>0.24861111111111112</v>
      </c>
      <c r="U21" s="96"/>
      <c r="V21" s="103">
        <f t="shared" ref="V21:V26" si="21">(T21-S21)*24*60</f>
        <v>57.999999999999993</v>
      </c>
      <c r="W21" s="20"/>
      <c r="X21" s="20"/>
      <c r="Y21" s="20"/>
      <c r="Z21" s="20"/>
      <c r="AA21" s="612"/>
      <c r="AB21" s="612"/>
      <c r="AC21" s="18">
        <v>6</v>
      </c>
      <c r="AD21" s="18"/>
      <c r="AE21" s="14">
        <f t="shared" si="8"/>
        <v>-76.89655172413768</v>
      </c>
      <c r="AF21" s="95">
        <f t="shared" si="9"/>
        <v>0.96155172413793111</v>
      </c>
      <c r="AG21" s="616">
        <f>AF27</f>
        <v>0.96064906916896631</v>
      </c>
    </row>
    <row r="22" spans="1:33" ht="15.75" customHeight="1">
      <c r="A22" s="635" t="s">
        <v>179</v>
      </c>
      <c r="B22" s="27" t="s">
        <v>5</v>
      </c>
      <c r="C22" s="659" t="s">
        <v>17</v>
      </c>
      <c r="D22" s="659"/>
      <c r="E22" s="27">
        <v>57.73</v>
      </c>
      <c r="F22" s="104">
        <v>2254</v>
      </c>
      <c r="G22" s="96">
        <f t="shared" si="19"/>
        <v>130123.42</v>
      </c>
      <c r="H22" s="31" t="s">
        <v>40</v>
      </c>
      <c r="I22" s="102">
        <v>14</v>
      </c>
      <c r="J22" s="29">
        <v>2000</v>
      </c>
      <c r="K22" s="12">
        <f t="shared" si="1"/>
        <v>142.85714285714286</v>
      </c>
      <c r="L22" s="102">
        <v>14</v>
      </c>
      <c r="M22" s="13">
        <f t="shared" si="20"/>
        <v>1904.7887323943667</v>
      </c>
      <c r="N22" s="12">
        <f t="shared" si="3"/>
        <v>136.05633802816905</v>
      </c>
      <c r="O22" s="14">
        <f t="shared" si="4"/>
        <v>0</v>
      </c>
      <c r="P22" s="15">
        <f t="shared" si="5"/>
        <v>-6.8008048289738099</v>
      </c>
      <c r="Q22" s="95">
        <f t="shared" si="6"/>
        <v>0.95239436619718332</v>
      </c>
      <c r="R22" s="616"/>
      <c r="S22" s="32">
        <v>0.25277777777777777</v>
      </c>
      <c r="T22" s="32">
        <v>0.30208333333333331</v>
      </c>
      <c r="U22" s="96">
        <f t="shared" ref="U22:U26" si="22">IF(S22=TIME(17,0,0),"",(S22-T21)*24*60)</f>
        <v>5.9999999999999787</v>
      </c>
      <c r="V22" s="103">
        <f t="shared" si="21"/>
        <v>70.999999999999986</v>
      </c>
      <c r="W22" s="16"/>
      <c r="X22" s="96"/>
      <c r="Y22" s="96"/>
      <c r="Z22" s="96"/>
      <c r="AA22" s="612"/>
      <c r="AB22" s="612"/>
      <c r="AC22" s="18"/>
      <c r="AD22" s="18"/>
      <c r="AE22" s="14">
        <f t="shared" si="8"/>
        <v>-95.211267605633338</v>
      </c>
      <c r="AF22" s="95">
        <f t="shared" si="9"/>
        <v>0.95239436619718332</v>
      </c>
      <c r="AG22" s="616"/>
    </row>
    <row r="23" spans="1:33" ht="15.75" customHeight="1">
      <c r="A23" s="635" t="s">
        <v>179</v>
      </c>
      <c r="B23" s="27" t="s">
        <v>5</v>
      </c>
      <c r="C23" s="659" t="s">
        <v>60</v>
      </c>
      <c r="D23" s="659"/>
      <c r="E23" s="27">
        <v>53.27</v>
      </c>
      <c r="F23" s="104">
        <v>1705</v>
      </c>
      <c r="G23" s="96">
        <f t="shared" si="19"/>
        <v>90825.35</v>
      </c>
      <c r="H23" s="31" t="s">
        <v>40</v>
      </c>
      <c r="I23" s="102">
        <v>16</v>
      </c>
      <c r="J23" s="29">
        <v>2000</v>
      </c>
      <c r="K23" s="12">
        <f t="shared" si="1"/>
        <v>125</v>
      </c>
      <c r="L23" s="102">
        <v>16</v>
      </c>
      <c r="M23" s="13">
        <f t="shared" si="20"/>
        <v>1930.188679245284</v>
      </c>
      <c r="N23" s="12">
        <f t="shared" si="3"/>
        <v>120.63679245283025</v>
      </c>
      <c r="O23" s="14">
        <f t="shared" si="4"/>
        <v>0</v>
      </c>
      <c r="P23" s="15">
        <f t="shared" si="5"/>
        <v>-4.3632075471697505</v>
      </c>
      <c r="Q23" s="95">
        <f t="shared" si="6"/>
        <v>0.96509433962264202</v>
      </c>
      <c r="R23" s="616"/>
      <c r="S23" s="32">
        <v>0.30555555555555552</v>
      </c>
      <c r="T23" s="32">
        <v>0.34236111111111106</v>
      </c>
      <c r="U23" s="96">
        <f t="shared" si="22"/>
        <v>4.9999999999999822</v>
      </c>
      <c r="V23" s="103">
        <f t="shared" si="21"/>
        <v>52.999999999999972</v>
      </c>
      <c r="W23" s="16"/>
      <c r="X23" s="96"/>
      <c r="Y23" s="96"/>
      <c r="Z23" s="96"/>
      <c r="AA23" s="612"/>
      <c r="AB23" s="612"/>
      <c r="AC23" s="18"/>
      <c r="AD23" s="18"/>
      <c r="AE23" s="14">
        <f t="shared" si="8"/>
        <v>-69.811320754716007</v>
      </c>
      <c r="AF23" s="95">
        <f t="shared" si="9"/>
        <v>0.96509433962264202</v>
      </c>
      <c r="AG23" s="616"/>
    </row>
    <row r="24" spans="1:33" ht="15.75" customHeight="1">
      <c r="A24" s="635" t="s">
        <v>179</v>
      </c>
      <c r="B24" s="27" t="s">
        <v>5</v>
      </c>
      <c r="C24" s="659" t="s">
        <v>81</v>
      </c>
      <c r="D24" s="659"/>
      <c r="E24" s="27">
        <v>51.44</v>
      </c>
      <c r="F24" s="104">
        <v>2343</v>
      </c>
      <c r="G24" s="96">
        <f t="shared" si="19"/>
        <v>120523.92</v>
      </c>
      <c r="H24" s="31" t="s">
        <v>40</v>
      </c>
      <c r="I24" s="102">
        <v>25</v>
      </c>
      <c r="J24" s="29">
        <v>2000</v>
      </c>
      <c r="K24" s="12">
        <f t="shared" si="1"/>
        <v>80</v>
      </c>
      <c r="L24" s="102">
        <v>25</v>
      </c>
      <c r="M24" s="13">
        <f t="shared" si="20"/>
        <v>1925.7534246575344</v>
      </c>
      <c r="N24" s="12">
        <f t="shared" si="3"/>
        <v>77.030136986301372</v>
      </c>
      <c r="O24" s="14">
        <f t="shared" si="4"/>
        <v>0</v>
      </c>
      <c r="P24" s="15">
        <f t="shared" si="5"/>
        <v>-2.9698630136986282</v>
      </c>
      <c r="Q24" s="95">
        <f t="shared" si="6"/>
        <v>0.96287671232876715</v>
      </c>
      <c r="R24" s="616"/>
      <c r="S24" s="32">
        <v>0.34722222222222215</v>
      </c>
      <c r="T24" s="32">
        <v>0.39791666666666659</v>
      </c>
      <c r="U24" s="96">
        <f t="shared" si="22"/>
        <v>6.9999999999999751</v>
      </c>
      <c r="V24" s="103">
        <f t="shared" si="21"/>
        <v>72.999999999999986</v>
      </c>
      <c r="W24" s="16"/>
      <c r="X24" s="96"/>
      <c r="Y24" s="96"/>
      <c r="Z24" s="96"/>
      <c r="AA24" s="612"/>
      <c r="AB24" s="612"/>
      <c r="AC24" s="18"/>
      <c r="AD24" s="18"/>
      <c r="AE24" s="14">
        <f t="shared" si="8"/>
        <v>-74.246575342465576</v>
      </c>
      <c r="AF24" s="95">
        <f t="shared" si="9"/>
        <v>0.96287671232876726</v>
      </c>
      <c r="AG24" s="616"/>
    </row>
    <row r="25" spans="1:33" ht="15.75" customHeight="1">
      <c r="A25" s="635" t="s">
        <v>179</v>
      </c>
      <c r="B25" s="27" t="s">
        <v>5</v>
      </c>
      <c r="C25" s="659" t="s">
        <v>18</v>
      </c>
      <c r="D25" s="659"/>
      <c r="E25" s="27">
        <v>50.49</v>
      </c>
      <c r="F25" s="104">
        <v>1926</v>
      </c>
      <c r="G25" s="96">
        <f t="shared" si="19"/>
        <v>97243.74</v>
      </c>
      <c r="H25" s="31" t="s">
        <v>40</v>
      </c>
      <c r="I25" s="102">
        <v>15</v>
      </c>
      <c r="J25" s="29">
        <v>2000</v>
      </c>
      <c r="K25" s="12">
        <f t="shared" si="1"/>
        <v>133.33333333333334</v>
      </c>
      <c r="L25" s="102">
        <v>15</v>
      </c>
      <c r="M25" s="13">
        <f t="shared" si="20"/>
        <v>1926.0000000000018</v>
      </c>
      <c r="N25" s="12">
        <f t="shared" si="3"/>
        <v>128.40000000000012</v>
      </c>
      <c r="O25" s="14">
        <f t="shared" si="4"/>
        <v>0</v>
      </c>
      <c r="P25" s="15">
        <f t="shared" si="5"/>
        <v>-4.9333333333332234</v>
      </c>
      <c r="Q25" s="95">
        <f t="shared" si="6"/>
        <v>0.96300000000000086</v>
      </c>
      <c r="R25" s="616"/>
      <c r="S25" s="32">
        <v>0.70833333333333337</v>
      </c>
      <c r="T25" s="32">
        <v>0.75</v>
      </c>
      <c r="U25" s="96" t="str">
        <f t="shared" si="22"/>
        <v/>
      </c>
      <c r="V25" s="103">
        <f t="shared" si="21"/>
        <v>59.999999999999943</v>
      </c>
      <c r="W25" s="16"/>
      <c r="X25" s="16"/>
      <c r="Y25" s="96"/>
      <c r="Z25" s="96"/>
      <c r="AA25" s="612"/>
      <c r="AB25" s="612"/>
      <c r="AC25" s="18"/>
      <c r="AD25" s="18"/>
      <c r="AE25" s="14">
        <f t="shared" si="8"/>
        <v>-73.999999999998181</v>
      </c>
      <c r="AF25" s="95">
        <f t="shared" si="9"/>
        <v>0.96300000000000086</v>
      </c>
      <c r="AG25" s="616"/>
    </row>
    <row r="26" spans="1:33" ht="15.75" customHeight="1">
      <c r="A26" s="635" t="s">
        <v>179</v>
      </c>
      <c r="B26" s="27" t="s">
        <v>5</v>
      </c>
      <c r="C26" s="659" t="s">
        <v>62</v>
      </c>
      <c r="D26" s="659"/>
      <c r="E26" s="27">
        <v>51.06</v>
      </c>
      <c r="F26" s="104">
        <v>2813</v>
      </c>
      <c r="G26" s="96">
        <f t="shared" si="19"/>
        <v>143631.78</v>
      </c>
      <c r="H26" s="31" t="s">
        <v>40</v>
      </c>
      <c r="I26" s="102">
        <v>13</v>
      </c>
      <c r="J26" s="29">
        <v>2000</v>
      </c>
      <c r="K26" s="12">
        <f t="shared" si="1"/>
        <v>153.84615384615384</v>
      </c>
      <c r="L26" s="102">
        <v>13</v>
      </c>
      <c r="M26" s="13">
        <f t="shared" si="20"/>
        <v>1917.9545454545455</v>
      </c>
      <c r="N26" s="12">
        <f t="shared" si="3"/>
        <v>147.53496503496504</v>
      </c>
      <c r="O26" s="14">
        <f t="shared" si="4"/>
        <v>0</v>
      </c>
      <c r="P26" s="15">
        <f t="shared" si="5"/>
        <v>-6.3111888111887993</v>
      </c>
      <c r="Q26" s="95">
        <f t="shared" si="6"/>
        <v>0.95897727272727284</v>
      </c>
      <c r="R26" s="616"/>
      <c r="S26" s="32">
        <v>0.75347222222222221</v>
      </c>
      <c r="T26" s="32">
        <v>0.81458333333333333</v>
      </c>
      <c r="U26" s="96">
        <f t="shared" si="22"/>
        <v>4.9999999999999822</v>
      </c>
      <c r="V26" s="103">
        <f t="shared" si="21"/>
        <v>88</v>
      </c>
      <c r="W26" s="16"/>
      <c r="X26" s="20"/>
      <c r="Y26" s="20"/>
      <c r="Z26" s="20"/>
      <c r="AA26" s="612"/>
      <c r="AB26" s="612"/>
      <c r="AC26" s="18"/>
      <c r="AD26" s="18"/>
      <c r="AE26" s="14">
        <f t="shared" si="8"/>
        <v>-82.045454545454504</v>
      </c>
      <c r="AF26" s="95">
        <f t="shared" si="9"/>
        <v>0.95897727272727273</v>
      </c>
      <c r="AG26" s="616"/>
    </row>
    <row r="27" spans="1:33" ht="15.75" customHeight="1">
      <c r="A27" s="635" t="s">
        <v>179</v>
      </c>
      <c r="B27" s="27" t="s">
        <v>177</v>
      </c>
      <c r="C27" s="658"/>
      <c r="D27" s="658"/>
      <c r="E27" s="97"/>
      <c r="F27" s="104"/>
      <c r="G27" s="96"/>
      <c r="H27" s="104"/>
      <c r="I27" s="21">
        <v>16.666666666666668</v>
      </c>
      <c r="J27" s="29">
        <v>2000</v>
      </c>
      <c r="K27" s="12">
        <f t="shared" si="1"/>
        <v>119.99999999999999</v>
      </c>
      <c r="L27" s="21">
        <v>16.666666666666668</v>
      </c>
      <c r="M27" s="13">
        <f>AVERAGE(M21:M26)</f>
        <v>1921.2981383379326</v>
      </c>
      <c r="N27" s="12">
        <f t="shared" si="3"/>
        <v>115.27788830027595</v>
      </c>
      <c r="O27" s="14">
        <f t="shared" si="4"/>
        <v>0</v>
      </c>
      <c r="P27" s="15">
        <f t="shared" si="5"/>
        <v>-4.7221116997240387</v>
      </c>
      <c r="Q27" s="95">
        <f t="shared" si="6"/>
        <v>0.96064906916896631</v>
      </c>
      <c r="R27" s="616"/>
      <c r="S27" s="32"/>
      <c r="T27" s="32"/>
      <c r="U27" s="12"/>
      <c r="V27" s="103"/>
      <c r="W27" s="12"/>
      <c r="X27" s="12"/>
      <c r="Y27" s="22">
        <f>SUM(Y21:Y26)</f>
        <v>0</v>
      </c>
      <c r="Z27" s="22">
        <f>SUM(Z21:Z26)</f>
        <v>0</v>
      </c>
      <c r="AA27" s="611"/>
      <c r="AB27" s="611"/>
      <c r="AC27" s="22">
        <v>6</v>
      </c>
      <c r="AD27" s="22">
        <f>SUM(AD21:AD26)</f>
        <v>0</v>
      </c>
      <c r="AE27" s="14">
        <f t="shared" si="8"/>
        <v>-78.701861662067358</v>
      </c>
      <c r="AF27" s="95">
        <f t="shared" si="9"/>
        <v>0.96064906916896631</v>
      </c>
      <c r="AG27" s="616"/>
    </row>
    <row r="28" spans="1:33" ht="15.75" customHeight="1">
      <c r="A28" s="633" t="s">
        <v>180</v>
      </c>
      <c r="B28" s="27" t="s">
        <v>20</v>
      </c>
      <c r="C28" s="659" t="s">
        <v>21</v>
      </c>
      <c r="D28" s="659"/>
      <c r="E28" s="27">
        <v>31.29</v>
      </c>
      <c r="F28" s="104">
        <v>5800</v>
      </c>
      <c r="G28" s="96">
        <f t="shared" ref="G28:G35" si="23">E28*F28</f>
        <v>181482</v>
      </c>
      <c r="H28" s="31">
        <v>2</v>
      </c>
      <c r="I28" s="102">
        <v>18</v>
      </c>
      <c r="J28" s="29">
        <v>2400</v>
      </c>
      <c r="K28" s="12">
        <f t="shared" si="1"/>
        <v>133.33333333333334</v>
      </c>
      <c r="L28" s="102">
        <v>18</v>
      </c>
      <c r="M28" s="13">
        <f t="shared" ref="M28:M35" si="24">F28/V28*60</f>
        <v>2289.4736842105262</v>
      </c>
      <c r="N28" s="12">
        <f t="shared" si="3"/>
        <v>127.19298245614034</v>
      </c>
      <c r="O28" s="14">
        <f t="shared" si="4"/>
        <v>0</v>
      </c>
      <c r="P28" s="15">
        <f t="shared" si="5"/>
        <v>-6.1403508771930007</v>
      </c>
      <c r="Q28" s="95">
        <f t="shared" si="6"/>
        <v>0.95394736842105254</v>
      </c>
      <c r="R28" s="616">
        <f>Q36</f>
        <v>0.95646967525261772</v>
      </c>
      <c r="S28" s="32">
        <v>8.3333333333333329E-2</v>
      </c>
      <c r="T28" s="32">
        <v>0.18888888888888888</v>
      </c>
      <c r="U28" s="96"/>
      <c r="V28" s="103">
        <f t="shared" ref="V28:V35" si="25">(T28-S28)*24*60</f>
        <v>152</v>
      </c>
      <c r="W28" s="16">
        <f>T28</f>
        <v>0.18888888888888888</v>
      </c>
      <c r="X28" s="16">
        <f>S29</f>
        <v>0.20624999999999996</v>
      </c>
      <c r="Y28" s="16"/>
      <c r="Z28" s="16"/>
      <c r="AA28" s="612"/>
      <c r="AB28" s="612"/>
      <c r="AC28" s="18">
        <v>8</v>
      </c>
      <c r="AD28" s="18"/>
      <c r="AE28" s="14">
        <f t="shared" si="8"/>
        <v>-110.52631578947376</v>
      </c>
      <c r="AF28" s="95">
        <f t="shared" si="9"/>
        <v>0.95394736842105265</v>
      </c>
      <c r="AG28" s="616">
        <f>AF36</f>
        <v>0.95646967525261761</v>
      </c>
    </row>
    <row r="29" spans="1:33" ht="15.75" customHeight="1">
      <c r="A29" s="633" t="s">
        <v>180</v>
      </c>
      <c r="B29" s="27" t="s">
        <v>20</v>
      </c>
      <c r="C29" s="659" t="s">
        <v>22</v>
      </c>
      <c r="D29" s="659"/>
      <c r="E29" s="27">
        <v>26.37</v>
      </c>
      <c r="F29" s="104">
        <v>3900</v>
      </c>
      <c r="G29" s="96">
        <f t="shared" si="23"/>
        <v>102843</v>
      </c>
      <c r="H29" s="31">
        <v>2</v>
      </c>
      <c r="I29" s="102">
        <v>18</v>
      </c>
      <c r="J29" s="29">
        <v>2400</v>
      </c>
      <c r="K29" s="12">
        <f t="shared" si="1"/>
        <v>133.33333333333334</v>
      </c>
      <c r="L29" s="102">
        <v>18</v>
      </c>
      <c r="M29" s="13">
        <f t="shared" si="24"/>
        <v>2294.1176470588234</v>
      </c>
      <c r="N29" s="12">
        <f t="shared" si="3"/>
        <v>127.45098039215685</v>
      </c>
      <c r="O29" s="14">
        <f t="shared" si="4"/>
        <v>0</v>
      </c>
      <c r="P29" s="15">
        <f t="shared" si="5"/>
        <v>-5.8823529411764923</v>
      </c>
      <c r="Q29" s="95">
        <f t="shared" si="6"/>
        <v>0.95588235294117629</v>
      </c>
      <c r="R29" s="616"/>
      <c r="S29" s="32">
        <v>0.20624999999999996</v>
      </c>
      <c r="T29" s="32">
        <v>0.27708333333333329</v>
      </c>
      <c r="U29" s="96">
        <f t="shared" ref="U29:U35" si="26">(S29-T28)*24*60</f>
        <v>24.99999999999995</v>
      </c>
      <c r="V29" s="103">
        <f t="shared" si="25"/>
        <v>102</v>
      </c>
      <c r="W29" s="16"/>
      <c r="X29" s="16"/>
      <c r="Y29" s="16"/>
      <c r="Z29" s="16"/>
      <c r="AA29" s="612"/>
      <c r="AB29" s="612"/>
      <c r="AC29" s="18"/>
      <c r="AD29" s="18"/>
      <c r="AE29" s="14">
        <f t="shared" si="8"/>
        <v>-105.88235294117658</v>
      </c>
      <c r="AF29" s="95">
        <f t="shared" si="9"/>
        <v>0.95588235294117641</v>
      </c>
      <c r="AG29" s="616"/>
    </row>
    <row r="30" spans="1:33" ht="15.75" customHeight="1">
      <c r="A30" s="633" t="s">
        <v>180</v>
      </c>
      <c r="B30" s="27" t="s">
        <v>20</v>
      </c>
      <c r="C30" s="659" t="s">
        <v>57</v>
      </c>
      <c r="D30" s="659"/>
      <c r="E30" s="27">
        <v>26.18</v>
      </c>
      <c r="F30" s="104">
        <v>4700</v>
      </c>
      <c r="G30" s="96">
        <f t="shared" si="23"/>
        <v>123046</v>
      </c>
      <c r="H30" s="31">
        <v>2</v>
      </c>
      <c r="I30" s="102">
        <v>18</v>
      </c>
      <c r="J30" s="29">
        <v>2400</v>
      </c>
      <c r="K30" s="12">
        <f t="shared" si="1"/>
        <v>133.33333333333334</v>
      </c>
      <c r="L30" s="102">
        <v>18</v>
      </c>
      <c r="M30" s="13">
        <f t="shared" si="24"/>
        <v>2292.682926829269</v>
      </c>
      <c r="N30" s="12">
        <f t="shared" si="3"/>
        <v>127.37127371273716</v>
      </c>
      <c r="O30" s="14">
        <f t="shared" si="4"/>
        <v>0</v>
      </c>
      <c r="P30" s="15">
        <f t="shared" si="5"/>
        <v>-5.9620596205961789</v>
      </c>
      <c r="Q30" s="95">
        <f t="shared" si="6"/>
        <v>0.95528455284552871</v>
      </c>
      <c r="R30" s="616"/>
      <c r="S30" s="32">
        <v>0.28124999999999994</v>
      </c>
      <c r="T30" s="32">
        <v>0.36666666666666659</v>
      </c>
      <c r="U30" s="96">
        <f t="shared" si="26"/>
        <v>5.9999999999999787</v>
      </c>
      <c r="V30" s="103">
        <f t="shared" si="25"/>
        <v>122.99999999999996</v>
      </c>
      <c r="W30" s="16"/>
      <c r="X30" s="16"/>
      <c r="Y30" s="16"/>
      <c r="Z30" s="16"/>
      <c r="AA30" s="612"/>
      <c r="AB30" s="612"/>
      <c r="AC30" s="18"/>
      <c r="AD30" s="18"/>
      <c r="AE30" s="14">
        <f t="shared" si="8"/>
        <v>-107.31707317073096</v>
      </c>
      <c r="AF30" s="95">
        <f t="shared" si="9"/>
        <v>0.95528455284552871</v>
      </c>
      <c r="AG30" s="616"/>
    </row>
    <row r="31" spans="1:33" ht="15.75" customHeight="1">
      <c r="A31" s="633" t="s">
        <v>180</v>
      </c>
      <c r="B31" s="27" t="s">
        <v>20</v>
      </c>
      <c r="C31" s="659" t="s">
        <v>59</v>
      </c>
      <c r="D31" s="659"/>
      <c r="E31" s="27">
        <v>25.99</v>
      </c>
      <c r="F31" s="104">
        <v>1694</v>
      </c>
      <c r="G31" s="96">
        <f t="shared" si="23"/>
        <v>44027.06</v>
      </c>
      <c r="H31" s="31" t="s">
        <v>40</v>
      </c>
      <c r="I31" s="102">
        <v>18</v>
      </c>
      <c r="J31" s="29">
        <v>2400</v>
      </c>
      <c r="K31" s="12">
        <f t="shared" si="1"/>
        <v>133.33333333333334</v>
      </c>
      <c r="L31" s="102">
        <v>18</v>
      </c>
      <c r="M31" s="13">
        <f t="shared" si="24"/>
        <v>2310</v>
      </c>
      <c r="N31" s="12">
        <f t="shared" si="3"/>
        <v>128.33333333333334</v>
      </c>
      <c r="O31" s="14">
        <f t="shared" si="4"/>
        <v>0</v>
      </c>
      <c r="P31" s="15">
        <f t="shared" si="5"/>
        <v>-5</v>
      </c>
      <c r="Q31" s="95">
        <f t="shared" si="6"/>
        <v>0.96250000000000002</v>
      </c>
      <c r="R31" s="616"/>
      <c r="S31" s="32">
        <v>0.37222222222222212</v>
      </c>
      <c r="T31" s="32">
        <v>0.40277777777777768</v>
      </c>
      <c r="U31" s="96">
        <f t="shared" si="26"/>
        <v>7.9999999999999716</v>
      </c>
      <c r="V31" s="103">
        <f t="shared" si="25"/>
        <v>44</v>
      </c>
      <c r="W31" s="16"/>
      <c r="X31" s="16"/>
      <c r="Y31" s="16"/>
      <c r="Z31" s="16"/>
      <c r="AA31" s="612"/>
      <c r="AB31" s="612"/>
      <c r="AC31" s="18"/>
      <c r="AD31" s="18"/>
      <c r="AE31" s="14">
        <f t="shared" si="8"/>
        <v>-90</v>
      </c>
      <c r="AF31" s="95">
        <f t="shared" si="9"/>
        <v>0.96250000000000002</v>
      </c>
      <c r="AG31" s="616"/>
    </row>
    <row r="32" spans="1:33" ht="15.75" customHeight="1">
      <c r="A32" s="633" t="s">
        <v>180</v>
      </c>
      <c r="B32" s="27" t="s">
        <v>20</v>
      </c>
      <c r="C32" s="659" t="s">
        <v>23</v>
      </c>
      <c r="D32" s="659"/>
      <c r="E32" s="27">
        <v>25.99</v>
      </c>
      <c r="F32" s="104">
        <v>4122</v>
      </c>
      <c r="G32" s="96">
        <f t="shared" si="23"/>
        <v>107130.78</v>
      </c>
      <c r="H32" s="31" t="s">
        <v>40</v>
      </c>
      <c r="I32" s="102">
        <v>14</v>
      </c>
      <c r="J32" s="29">
        <v>2400</v>
      </c>
      <c r="K32" s="12">
        <f t="shared" si="1"/>
        <v>171.42857142857142</v>
      </c>
      <c r="L32" s="102">
        <v>14</v>
      </c>
      <c r="M32" s="13">
        <f t="shared" si="24"/>
        <v>2290</v>
      </c>
      <c r="N32" s="12">
        <f t="shared" si="3"/>
        <v>163.57142857142858</v>
      </c>
      <c r="O32" s="14">
        <f t="shared" si="4"/>
        <v>0</v>
      </c>
      <c r="P32" s="15">
        <f t="shared" si="5"/>
        <v>-7.8571428571428328</v>
      </c>
      <c r="Q32" s="95">
        <f t="shared" si="6"/>
        <v>0.95416666666666683</v>
      </c>
      <c r="R32" s="616"/>
      <c r="S32" s="32">
        <v>0.40763888888888877</v>
      </c>
      <c r="T32" s="32">
        <v>0.48263888888888878</v>
      </c>
      <c r="U32" s="96">
        <f t="shared" si="26"/>
        <v>6.9999999999999751</v>
      </c>
      <c r="V32" s="103">
        <f t="shared" si="25"/>
        <v>108.00000000000001</v>
      </c>
      <c r="W32" s="16">
        <f>T32</f>
        <v>0.48263888888888878</v>
      </c>
      <c r="X32" s="16">
        <f>S33</f>
        <v>0.52222222222222214</v>
      </c>
      <c r="Y32" s="16"/>
      <c r="Z32" s="16"/>
      <c r="AA32" s="612"/>
      <c r="AB32" s="612"/>
      <c r="AC32" s="18"/>
      <c r="AD32" s="18"/>
      <c r="AE32" s="14">
        <f t="shared" si="8"/>
        <v>-110</v>
      </c>
      <c r="AF32" s="95">
        <f t="shared" si="9"/>
        <v>0.95416666666666672</v>
      </c>
      <c r="AG32" s="616"/>
    </row>
    <row r="33" spans="1:33" ht="15.75" customHeight="1">
      <c r="A33" s="633" t="s">
        <v>180</v>
      </c>
      <c r="B33" s="27" t="s">
        <v>20</v>
      </c>
      <c r="C33" s="659" t="s">
        <v>57</v>
      </c>
      <c r="D33" s="659"/>
      <c r="E33" s="27">
        <v>26.18</v>
      </c>
      <c r="F33" s="104">
        <v>3043</v>
      </c>
      <c r="G33" s="96">
        <f t="shared" si="23"/>
        <v>79665.740000000005</v>
      </c>
      <c r="H33" s="31" t="s">
        <v>40</v>
      </c>
      <c r="I33" s="102">
        <v>18</v>
      </c>
      <c r="J33" s="29">
        <v>2400</v>
      </c>
      <c r="K33" s="12">
        <f t="shared" si="1"/>
        <v>133.33333333333334</v>
      </c>
      <c r="L33" s="102">
        <v>18</v>
      </c>
      <c r="M33" s="13">
        <f t="shared" si="24"/>
        <v>2311.139240506328</v>
      </c>
      <c r="N33" s="12">
        <f t="shared" si="3"/>
        <v>128.39662447257376</v>
      </c>
      <c r="O33" s="14">
        <f t="shared" si="4"/>
        <v>0</v>
      </c>
      <c r="P33" s="15">
        <f t="shared" si="5"/>
        <v>-4.9367088607595804</v>
      </c>
      <c r="Q33" s="95">
        <f t="shared" si="6"/>
        <v>0.96297468354430316</v>
      </c>
      <c r="R33" s="616"/>
      <c r="S33" s="32">
        <v>0.52222222222222214</v>
      </c>
      <c r="T33" s="32">
        <v>0.57708333333333328</v>
      </c>
      <c r="U33" s="96">
        <f t="shared" si="26"/>
        <v>57.000000000000036</v>
      </c>
      <c r="V33" s="103">
        <f t="shared" si="25"/>
        <v>79.000000000000043</v>
      </c>
      <c r="W33" s="16"/>
      <c r="X33" s="16"/>
      <c r="Y33" s="16"/>
      <c r="Z33" s="16"/>
      <c r="AA33" s="612"/>
      <c r="AB33" s="612"/>
      <c r="AC33" s="18"/>
      <c r="AD33" s="18"/>
      <c r="AE33" s="14">
        <f t="shared" si="8"/>
        <v>-88.860759493672049</v>
      </c>
      <c r="AF33" s="95">
        <f t="shared" si="9"/>
        <v>0.96297468354430327</v>
      </c>
      <c r="AG33" s="616"/>
    </row>
    <row r="34" spans="1:33" ht="15.75" customHeight="1">
      <c r="A34" s="633" t="s">
        <v>180</v>
      </c>
      <c r="B34" s="27" t="s">
        <v>20</v>
      </c>
      <c r="C34" s="659" t="s">
        <v>22</v>
      </c>
      <c r="D34" s="659"/>
      <c r="E34" s="27">
        <v>26.37</v>
      </c>
      <c r="F34" s="104">
        <v>2327</v>
      </c>
      <c r="G34" s="96">
        <f t="shared" si="23"/>
        <v>61362.990000000005</v>
      </c>
      <c r="H34" s="31" t="s">
        <v>40</v>
      </c>
      <c r="I34" s="102">
        <v>18</v>
      </c>
      <c r="J34" s="29">
        <v>2400</v>
      </c>
      <c r="K34" s="12">
        <f t="shared" si="1"/>
        <v>133.33333333333334</v>
      </c>
      <c r="L34" s="102">
        <v>18</v>
      </c>
      <c r="M34" s="13">
        <f t="shared" si="24"/>
        <v>2288.8524590163956</v>
      </c>
      <c r="N34" s="12">
        <f t="shared" si="3"/>
        <v>127.15846994535531</v>
      </c>
      <c r="O34" s="14">
        <f t="shared" si="4"/>
        <v>0</v>
      </c>
      <c r="P34" s="15">
        <f t="shared" si="5"/>
        <v>-6.1748633879780357</v>
      </c>
      <c r="Q34" s="95">
        <f t="shared" si="6"/>
        <v>0.95368852459016473</v>
      </c>
      <c r="R34" s="616"/>
      <c r="S34" s="32">
        <v>0.58124999999999993</v>
      </c>
      <c r="T34" s="32">
        <v>0.62361111111111101</v>
      </c>
      <c r="U34" s="96">
        <f t="shared" si="26"/>
        <v>5.9999999999999787</v>
      </c>
      <c r="V34" s="103">
        <f t="shared" si="25"/>
        <v>60.999999999999943</v>
      </c>
      <c r="W34" s="16"/>
      <c r="X34" s="16"/>
      <c r="Y34" s="16"/>
      <c r="Z34" s="16"/>
      <c r="AA34" s="612"/>
      <c r="AB34" s="612"/>
      <c r="AC34" s="18"/>
      <c r="AD34" s="18"/>
      <c r="AE34" s="14">
        <f t="shared" si="8"/>
        <v>-111.14754098360436</v>
      </c>
      <c r="AF34" s="95">
        <f t="shared" si="9"/>
        <v>0.95368852459016484</v>
      </c>
      <c r="AG34" s="616"/>
    </row>
    <row r="35" spans="1:33" ht="15.75" customHeight="1">
      <c r="A35" s="633" t="s">
        <v>180</v>
      </c>
      <c r="B35" s="27" t="s">
        <v>20</v>
      </c>
      <c r="C35" s="106" t="s">
        <v>21</v>
      </c>
      <c r="D35" s="107"/>
      <c r="E35" s="27">
        <v>31.29</v>
      </c>
      <c r="F35" s="104">
        <v>3165</v>
      </c>
      <c r="G35" s="96">
        <f t="shared" si="23"/>
        <v>99032.849999999991</v>
      </c>
      <c r="H35" s="31" t="s">
        <v>40</v>
      </c>
      <c r="I35" s="102">
        <v>18</v>
      </c>
      <c r="J35" s="29">
        <v>2400</v>
      </c>
      <c r="K35" s="12">
        <f t="shared" si="1"/>
        <v>133.33333333333334</v>
      </c>
      <c r="L35" s="102">
        <v>18</v>
      </c>
      <c r="M35" s="13">
        <f t="shared" si="24"/>
        <v>2287.9518072289152</v>
      </c>
      <c r="N35" s="12">
        <f t="shared" si="3"/>
        <v>127.10843373493974</v>
      </c>
      <c r="O35" s="14">
        <f t="shared" si="4"/>
        <v>0</v>
      </c>
      <c r="P35" s="15">
        <f t="shared" si="5"/>
        <v>-6.2248995983936055</v>
      </c>
      <c r="Q35" s="95">
        <f t="shared" si="6"/>
        <v>0.95331325301204795</v>
      </c>
      <c r="R35" s="616"/>
      <c r="S35" s="32">
        <v>0.62777777777777766</v>
      </c>
      <c r="T35" s="32">
        <v>0.68541666666666656</v>
      </c>
      <c r="U35" s="96">
        <f t="shared" si="26"/>
        <v>5.9999999999999787</v>
      </c>
      <c r="V35" s="103">
        <f t="shared" si="25"/>
        <v>83.000000000000028</v>
      </c>
      <c r="W35" s="16"/>
      <c r="X35" s="16"/>
      <c r="Y35" s="16"/>
      <c r="Z35" s="16"/>
      <c r="AA35" s="100"/>
      <c r="AB35" s="101"/>
      <c r="AC35" s="18"/>
      <c r="AD35" s="18"/>
      <c r="AE35" s="14">
        <f t="shared" si="8"/>
        <v>-112.04819277108481</v>
      </c>
      <c r="AF35" s="95">
        <f t="shared" si="9"/>
        <v>0.95331325301204795</v>
      </c>
      <c r="AG35" s="616"/>
    </row>
    <row r="36" spans="1:33" ht="15.75" customHeight="1">
      <c r="A36" s="633" t="s">
        <v>180</v>
      </c>
      <c r="B36" s="27" t="s">
        <v>177</v>
      </c>
      <c r="C36" s="658"/>
      <c r="D36" s="658"/>
      <c r="E36" s="97"/>
      <c r="F36" s="104"/>
      <c r="G36" s="96"/>
      <c r="H36" s="104"/>
      <c r="I36" s="21">
        <v>17.5</v>
      </c>
      <c r="J36" s="29">
        <v>2400</v>
      </c>
      <c r="K36" s="12">
        <f t="shared" si="1"/>
        <v>137.14285714285714</v>
      </c>
      <c r="L36" s="21">
        <v>17.5</v>
      </c>
      <c r="M36" s="13">
        <f>AVERAGE(M28:M35)</f>
        <v>2295.5272206062823</v>
      </c>
      <c r="N36" s="12">
        <f t="shared" si="3"/>
        <v>131.17298403464471</v>
      </c>
      <c r="O36" s="14">
        <f t="shared" si="4"/>
        <v>0</v>
      </c>
      <c r="P36" s="15">
        <f t="shared" si="5"/>
        <v>-5.9698731082124254</v>
      </c>
      <c r="Q36" s="95">
        <f t="shared" si="6"/>
        <v>0.95646967525261772</v>
      </c>
      <c r="R36" s="616"/>
      <c r="S36" s="32"/>
      <c r="T36" s="32"/>
      <c r="U36" s="96"/>
      <c r="V36" s="103"/>
      <c r="W36" s="96"/>
      <c r="X36" s="96"/>
      <c r="Y36" s="22">
        <f>SUM(Y28:Y35)</f>
        <v>0</v>
      </c>
      <c r="Z36" s="22">
        <f>SUM(Z28:Z35)</f>
        <v>0</v>
      </c>
      <c r="AA36" s="611"/>
      <c r="AB36" s="611"/>
      <c r="AC36" s="22">
        <v>8</v>
      </c>
      <c r="AD36" s="22">
        <f>SUM(AD28:AD35)</f>
        <v>0</v>
      </c>
      <c r="AE36" s="14">
        <f t="shared" si="8"/>
        <v>-104.4727793937177</v>
      </c>
      <c r="AF36" s="95">
        <f t="shared" si="9"/>
        <v>0.95646967525261761</v>
      </c>
      <c r="AG36" s="616"/>
    </row>
    <row r="37" spans="1:33" ht="15.75" customHeight="1">
      <c r="A37" s="629" t="s">
        <v>181</v>
      </c>
      <c r="B37" s="27" t="s">
        <v>20</v>
      </c>
      <c r="C37" s="660" t="s">
        <v>58</v>
      </c>
      <c r="D37" s="660"/>
      <c r="E37" s="27">
        <v>26.18</v>
      </c>
      <c r="F37" s="104">
        <v>3500</v>
      </c>
      <c r="G37" s="96">
        <f t="shared" ref="G37:G43" si="27">E37*F37</f>
        <v>91630</v>
      </c>
      <c r="H37" s="31">
        <v>2</v>
      </c>
      <c r="I37" s="102">
        <v>20</v>
      </c>
      <c r="J37" s="29">
        <v>2400</v>
      </c>
      <c r="K37" s="12">
        <f t="shared" si="1"/>
        <v>120</v>
      </c>
      <c r="L37" s="102">
        <v>20</v>
      </c>
      <c r="M37" s="13">
        <f t="shared" ref="M37:M43" si="28">F37/V37*60</f>
        <v>2282.608695652174</v>
      </c>
      <c r="N37" s="12">
        <f t="shared" si="3"/>
        <v>114.1304347826087</v>
      </c>
      <c r="O37" s="14">
        <f t="shared" si="4"/>
        <v>0</v>
      </c>
      <c r="P37" s="15">
        <f t="shared" si="5"/>
        <v>-5.8695652173912976</v>
      </c>
      <c r="Q37" s="95">
        <f t="shared" si="6"/>
        <v>0.95108695652173914</v>
      </c>
      <c r="R37" s="616">
        <f>Q44</f>
        <v>0.9556187858092362</v>
      </c>
      <c r="S37" s="32">
        <v>8.3333333333333329E-2</v>
      </c>
      <c r="T37" s="32">
        <v>0.14722222222222223</v>
      </c>
      <c r="U37" s="96"/>
      <c r="V37" s="103">
        <f t="shared" ref="V37:V43" si="29">(T37-S37)*24*60</f>
        <v>92.000000000000014</v>
      </c>
      <c r="W37" s="20">
        <f>T37</f>
        <v>0.14722222222222223</v>
      </c>
      <c r="X37" s="20">
        <f>S38</f>
        <v>0.1645833333333333</v>
      </c>
      <c r="Y37" s="20"/>
      <c r="Z37" s="20"/>
      <c r="AA37" s="612"/>
      <c r="AB37" s="612"/>
      <c r="AC37" s="18">
        <v>7</v>
      </c>
      <c r="AD37" s="18"/>
      <c r="AE37" s="14">
        <f t="shared" si="8"/>
        <v>-117.39130434782601</v>
      </c>
      <c r="AF37" s="95">
        <f t="shared" si="9"/>
        <v>0.95108695652173914</v>
      </c>
      <c r="AG37" s="616">
        <f>AF44</f>
        <v>0.9556187858092362</v>
      </c>
    </row>
    <row r="38" spans="1:33" ht="15.75" customHeight="1">
      <c r="A38" s="629" t="s">
        <v>181</v>
      </c>
      <c r="B38" s="27" t="s">
        <v>20</v>
      </c>
      <c r="C38" s="660" t="s">
        <v>25</v>
      </c>
      <c r="D38" s="660"/>
      <c r="E38" s="27">
        <v>24.43</v>
      </c>
      <c r="F38" s="104">
        <v>4000</v>
      </c>
      <c r="G38" s="96">
        <f t="shared" si="27"/>
        <v>97720</v>
      </c>
      <c r="H38" s="31">
        <v>2</v>
      </c>
      <c r="I38" s="102">
        <v>14</v>
      </c>
      <c r="J38" s="29">
        <v>2400</v>
      </c>
      <c r="K38" s="12">
        <f t="shared" si="1"/>
        <v>171.42857142857142</v>
      </c>
      <c r="L38" s="102">
        <v>14</v>
      </c>
      <c r="M38" s="13">
        <f t="shared" si="28"/>
        <v>2285.7142857142853</v>
      </c>
      <c r="N38" s="12">
        <f t="shared" si="3"/>
        <v>163.26530612244895</v>
      </c>
      <c r="O38" s="14">
        <f t="shared" si="4"/>
        <v>0</v>
      </c>
      <c r="P38" s="15">
        <f t="shared" si="5"/>
        <v>-8.1632653061224687</v>
      </c>
      <c r="Q38" s="95">
        <f t="shared" si="6"/>
        <v>0.95238095238095222</v>
      </c>
      <c r="R38" s="616"/>
      <c r="S38" s="32">
        <v>0.1645833333333333</v>
      </c>
      <c r="T38" s="32">
        <v>0.23749999999999999</v>
      </c>
      <c r="U38" s="96">
        <f t="shared" ref="U38:U43" si="30">(S38-T37)*24*60</f>
        <v>24.99999999999995</v>
      </c>
      <c r="V38" s="103">
        <f t="shared" si="29"/>
        <v>105.00000000000003</v>
      </c>
      <c r="W38" s="96"/>
      <c r="X38" s="96"/>
      <c r="Y38" s="96"/>
      <c r="Z38" s="96"/>
      <c r="AA38" s="612"/>
      <c r="AB38" s="612"/>
      <c r="AC38" s="18"/>
      <c r="AD38" s="18"/>
      <c r="AE38" s="14">
        <f t="shared" si="8"/>
        <v>-114.28571428571468</v>
      </c>
      <c r="AF38" s="95">
        <f t="shared" si="9"/>
        <v>0.95238095238095222</v>
      </c>
      <c r="AG38" s="616"/>
    </row>
    <row r="39" spans="1:33">
      <c r="A39" s="630" t="s">
        <v>181</v>
      </c>
      <c r="B39" s="27" t="s">
        <v>20</v>
      </c>
      <c r="C39" s="660" t="s">
        <v>83</v>
      </c>
      <c r="D39" s="660"/>
      <c r="E39" s="27">
        <v>25.98</v>
      </c>
      <c r="F39" s="104">
        <v>4739</v>
      </c>
      <c r="G39" s="96">
        <f t="shared" si="27"/>
        <v>123119.22</v>
      </c>
      <c r="H39" s="31" t="s">
        <v>40</v>
      </c>
      <c r="I39" s="102">
        <v>20</v>
      </c>
      <c r="J39" s="29">
        <v>2400</v>
      </c>
      <c r="K39" s="12">
        <f t="shared" si="1"/>
        <v>120</v>
      </c>
      <c r="L39" s="102">
        <v>20</v>
      </c>
      <c r="M39" s="13">
        <f t="shared" si="28"/>
        <v>2293.0645161290313</v>
      </c>
      <c r="N39" s="12">
        <f t="shared" si="3"/>
        <v>114.65322580645156</v>
      </c>
      <c r="O39" s="14">
        <f t="shared" si="4"/>
        <v>0</v>
      </c>
      <c r="P39" s="15">
        <f t="shared" si="5"/>
        <v>-5.3467741935484412</v>
      </c>
      <c r="Q39" s="95">
        <f t="shared" si="6"/>
        <v>0.95544354838709633</v>
      </c>
      <c r="R39" s="616"/>
      <c r="S39" s="32">
        <v>0.2409722222222222</v>
      </c>
      <c r="T39" s="32">
        <v>0.32708333333333334</v>
      </c>
      <c r="U39" s="96">
        <f t="shared" si="30"/>
        <v>4.9999999999999822</v>
      </c>
      <c r="V39" s="103">
        <f t="shared" si="29"/>
        <v>124.00000000000004</v>
      </c>
      <c r="W39" s="96"/>
      <c r="X39" s="96"/>
      <c r="Y39" s="96"/>
      <c r="Z39" s="96"/>
      <c r="AA39" s="612"/>
      <c r="AB39" s="612"/>
      <c r="AC39" s="18"/>
      <c r="AD39" s="18"/>
      <c r="AE39" s="14">
        <f t="shared" si="8"/>
        <v>-106.93548387096871</v>
      </c>
      <c r="AF39" s="95">
        <f t="shared" si="9"/>
        <v>0.95544354838709633</v>
      </c>
      <c r="AG39" s="616"/>
    </row>
    <row r="40" spans="1:33">
      <c r="A40" s="630" t="s">
        <v>181</v>
      </c>
      <c r="B40" s="27" t="s">
        <v>20</v>
      </c>
      <c r="C40" s="660" t="s">
        <v>26</v>
      </c>
      <c r="D40" s="660"/>
      <c r="E40" s="27">
        <v>34.1</v>
      </c>
      <c r="F40" s="104">
        <v>3600</v>
      </c>
      <c r="G40" s="96">
        <f t="shared" si="27"/>
        <v>122760</v>
      </c>
      <c r="H40" s="31">
        <v>2</v>
      </c>
      <c r="I40" s="102">
        <v>17</v>
      </c>
      <c r="J40" s="29">
        <v>1600</v>
      </c>
      <c r="K40" s="12">
        <f t="shared" si="1"/>
        <v>94.117647058823536</v>
      </c>
      <c r="L40" s="102">
        <v>17</v>
      </c>
      <c r="M40" s="13">
        <f t="shared" si="28"/>
        <v>1531.9148936170218</v>
      </c>
      <c r="N40" s="12">
        <f t="shared" si="3"/>
        <v>90.112640801001277</v>
      </c>
      <c r="O40" s="14">
        <f t="shared" si="4"/>
        <v>0</v>
      </c>
      <c r="P40" s="15">
        <f t="shared" si="5"/>
        <v>-4.0050062578222594</v>
      </c>
      <c r="Q40" s="95">
        <f t="shared" si="6"/>
        <v>0.95744680851063846</v>
      </c>
      <c r="R40" s="616"/>
      <c r="S40" s="32">
        <v>0.33124999999999999</v>
      </c>
      <c r="T40" s="32">
        <v>0.42916666666666664</v>
      </c>
      <c r="U40" s="96">
        <f t="shared" si="30"/>
        <v>5.9999999999999787</v>
      </c>
      <c r="V40" s="103">
        <f t="shared" si="29"/>
        <v>140.99999999999997</v>
      </c>
      <c r="W40" s="16"/>
      <c r="X40" s="16"/>
      <c r="Y40" s="16"/>
      <c r="Z40" s="16"/>
      <c r="AA40" s="612"/>
      <c r="AB40" s="612"/>
      <c r="AC40" s="18"/>
      <c r="AD40" s="18"/>
      <c r="AE40" s="14">
        <f t="shared" si="8"/>
        <v>-68.085106382978211</v>
      </c>
      <c r="AF40" s="95">
        <f t="shared" si="9"/>
        <v>0.95744680851063857</v>
      </c>
      <c r="AG40" s="616"/>
    </row>
    <row r="41" spans="1:33">
      <c r="A41" s="630" t="s">
        <v>181</v>
      </c>
      <c r="B41" s="27" t="s">
        <v>20</v>
      </c>
      <c r="C41" s="660" t="s">
        <v>64</v>
      </c>
      <c r="D41" s="660"/>
      <c r="E41" s="27">
        <v>20.21</v>
      </c>
      <c r="F41" s="104">
        <v>3255</v>
      </c>
      <c r="G41" s="96">
        <f t="shared" si="27"/>
        <v>65783.55</v>
      </c>
      <c r="H41" s="31" t="s">
        <v>40</v>
      </c>
      <c r="I41" s="102">
        <v>18</v>
      </c>
      <c r="J41" s="29">
        <v>2400</v>
      </c>
      <c r="K41" s="12">
        <f t="shared" si="1"/>
        <v>133.33333333333334</v>
      </c>
      <c r="L41" s="102">
        <v>18</v>
      </c>
      <c r="M41" s="13">
        <f t="shared" si="28"/>
        <v>2297.6470588235293</v>
      </c>
      <c r="N41" s="12">
        <f t="shared" si="3"/>
        <v>127.64705882352941</v>
      </c>
      <c r="O41" s="14">
        <f t="shared" si="4"/>
        <v>0</v>
      </c>
      <c r="P41" s="15">
        <f t="shared" si="5"/>
        <v>-5.6862745098039369</v>
      </c>
      <c r="Q41" s="95">
        <f t="shared" si="6"/>
        <v>0.95735294117647052</v>
      </c>
      <c r="R41" s="616"/>
      <c r="S41" s="32">
        <v>0.43333333333333329</v>
      </c>
      <c r="T41" s="32">
        <v>0.49236111111111108</v>
      </c>
      <c r="U41" s="96">
        <f t="shared" si="30"/>
        <v>5.9999999999999787</v>
      </c>
      <c r="V41" s="103">
        <f t="shared" si="29"/>
        <v>85.000000000000014</v>
      </c>
      <c r="W41" s="16">
        <f>T41</f>
        <v>0.49236111111111108</v>
      </c>
      <c r="X41" s="16">
        <f>S42</f>
        <v>0.53402777777777766</v>
      </c>
      <c r="Y41" s="16"/>
      <c r="Z41" s="16"/>
      <c r="AA41" s="612"/>
      <c r="AB41" s="612"/>
      <c r="AC41" s="18"/>
      <c r="AD41" s="18"/>
      <c r="AE41" s="14">
        <f t="shared" si="8"/>
        <v>-102.35294117647072</v>
      </c>
      <c r="AF41" s="95">
        <f t="shared" si="9"/>
        <v>0.95735294117647052</v>
      </c>
      <c r="AG41" s="616"/>
    </row>
    <row r="42" spans="1:33">
      <c r="A42" s="630" t="s">
        <v>181</v>
      </c>
      <c r="B42" s="27" t="s">
        <v>20</v>
      </c>
      <c r="C42" s="660" t="s">
        <v>26</v>
      </c>
      <c r="D42" s="660"/>
      <c r="E42" s="27">
        <v>34.1</v>
      </c>
      <c r="F42" s="104">
        <v>2785</v>
      </c>
      <c r="G42" s="96">
        <f t="shared" si="27"/>
        <v>94968.5</v>
      </c>
      <c r="H42" s="31" t="s">
        <v>40</v>
      </c>
      <c r="I42" s="102">
        <v>17</v>
      </c>
      <c r="J42" s="29">
        <v>1600</v>
      </c>
      <c r="K42" s="12">
        <f t="shared" si="1"/>
        <v>94.117647058823536</v>
      </c>
      <c r="L42" s="102">
        <v>17</v>
      </c>
      <c r="M42" s="13">
        <f t="shared" si="28"/>
        <v>1533.0275229357808</v>
      </c>
      <c r="N42" s="12">
        <f t="shared" si="3"/>
        <v>90.178089584457695</v>
      </c>
      <c r="O42" s="14">
        <f t="shared" si="4"/>
        <v>0</v>
      </c>
      <c r="P42" s="15">
        <f t="shared" si="5"/>
        <v>-3.9395574743658415</v>
      </c>
      <c r="Q42" s="95">
        <f t="shared" si="6"/>
        <v>0.95814220183486298</v>
      </c>
      <c r="R42" s="616"/>
      <c r="S42" s="32">
        <v>0.53402777777777766</v>
      </c>
      <c r="T42" s="32">
        <v>0.60972222222222205</v>
      </c>
      <c r="U42" s="96">
        <f t="shared" si="30"/>
        <v>59.999999999999865</v>
      </c>
      <c r="V42" s="103">
        <f t="shared" si="29"/>
        <v>108.99999999999993</v>
      </c>
      <c r="W42" s="16"/>
      <c r="X42" s="16"/>
      <c r="Y42" s="16"/>
      <c r="Z42" s="16"/>
      <c r="AA42" s="612"/>
      <c r="AB42" s="612"/>
      <c r="AC42" s="18"/>
      <c r="AD42" s="18"/>
      <c r="AE42" s="14">
        <f t="shared" si="8"/>
        <v>-66.97247706421922</v>
      </c>
      <c r="AF42" s="95">
        <f t="shared" si="9"/>
        <v>0.95814220183486298</v>
      </c>
      <c r="AG42" s="616"/>
    </row>
    <row r="43" spans="1:33">
      <c r="A43" s="630" t="s">
        <v>181</v>
      </c>
      <c r="B43" s="27" t="s">
        <v>20</v>
      </c>
      <c r="C43" s="660" t="s">
        <v>58</v>
      </c>
      <c r="D43" s="660"/>
      <c r="E43" s="27">
        <v>26.18</v>
      </c>
      <c r="F43" s="104">
        <v>2685</v>
      </c>
      <c r="G43" s="96">
        <f t="shared" si="27"/>
        <v>70293.3</v>
      </c>
      <c r="H43" s="31" t="s">
        <v>40</v>
      </c>
      <c r="I43" s="102">
        <v>20</v>
      </c>
      <c r="J43" s="29">
        <v>2400</v>
      </c>
      <c r="K43" s="12">
        <f t="shared" si="1"/>
        <v>120</v>
      </c>
      <c r="L43" s="102">
        <v>20</v>
      </c>
      <c r="M43" s="13">
        <f t="shared" si="28"/>
        <v>2301.4285714285693</v>
      </c>
      <c r="N43" s="12">
        <f t="shared" si="3"/>
        <v>115.07142857142847</v>
      </c>
      <c r="O43" s="14">
        <f t="shared" si="4"/>
        <v>0</v>
      </c>
      <c r="P43" s="15">
        <f t="shared" si="5"/>
        <v>-4.9285714285715301</v>
      </c>
      <c r="Q43" s="95">
        <f t="shared" si="6"/>
        <v>0.95892857142857058</v>
      </c>
      <c r="R43" s="616"/>
      <c r="S43" s="32">
        <v>0.61527777777777759</v>
      </c>
      <c r="T43" s="32">
        <v>0.66388888888888875</v>
      </c>
      <c r="U43" s="96">
        <f t="shared" si="30"/>
        <v>7.9999999999999716</v>
      </c>
      <c r="V43" s="103">
        <f t="shared" si="29"/>
        <v>70.000000000000071</v>
      </c>
      <c r="W43" s="16"/>
      <c r="X43" s="16"/>
      <c r="Y43" s="19"/>
      <c r="Z43" s="19"/>
      <c r="AA43" s="607"/>
      <c r="AB43" s="608"/>
      <c r="AC43" s="18"/>
      <c r="AD43" s="18"/>
      <c r="AE43" s="14">
        <f t="shared" si="8"/>
        <v>-98.571428571430715</v>
      </c>
      <c r="AF43" s="95">
        <f t="shared" si="9"/>
        <v>0.95892857142857058</v>
      </c>
      <c r="AG43" s="616"/>
    </row>
    <row r="44" spans="1:33">
      <c r="A44" s="630" t="s">
        <v>181</v>
      </c>
      <c r="B44" s="28" t="s">
        <v>177</v>
      </c>
      <c r="C44" s="658"/>
      <c r="D44" s="658"/>
      <c r="E44" s="97"/>
      <c r="F44" s="28"/>
      <c r="G44" s="12"/>
      <c r="H44" s="104"/>
      <c r="I44" s="21">
        <v>18</v>
      </c>
      <c r="J44" s="29">
        <v>2171.4285714285716</v>
      </c>
      <c r="K44" s="12">
        <f t="shared" si="1"/>
        <v>120.63492063492065</v>
      </c>
      <c r="L44" s="21">
        <v>18</v>
      </c>
      <c r="M44" s="13">
        <f>AVERAGE(M37:M43)</f>
        <v>2075.0579349000559</v>
      </c>
      <c r="N44" s="12">
        <f t="shared" si="3"/>
        <v>115.28099638333644</v>
      </c>
      <c r="O44" s="14">
        <f t="shared" si="4"/>
        <v>0</v>
      </c>
      <c r="P44" s="15">
        <f t="shared" si="5"/>
        <v>-5.3539242515842034</v>
      </c>
      <c r="Q44" s="95">
        <f t="shared" si="6"/>
        <v>0.9556187858092362</v>
      </c>
      <c r="R44" s="616"/>
      <c r="S44" s="32"/>
      <c r="T44" s="32"/>
      <c r="U44" s="12"/>
      <c r="V44" s="103"/>
      <c r="W44" s="12"/>
      <c r="X44" s="12"/>
      <c r="Y44" s="22">
        <f>SUM(Y37:Y43)</f>
        <v>0</v>
      </c>
      <c r="Z44" s="22">
        <f>SUM(Z37:Z43)</f>
        <v>0</v>
      </c>
      <c r="AA44" s="611"/>
      <c r="AB44" s="611"/>
      <c r="AC44" s="22">
        <v>7</v>
      </c>
      <c r="AD44" s="22">
        <f>SUM(AD37:AD43)</f>
        <v>0</v>
      </c>
      <c r="AE44" s="14">
        <f t="shared" si="8"/>
        <v>-96.370636528515661</v>
      </c>
      <c r="AF44" s="95">
        <f t="shared" si="9"/>
        <v>0.9556187858092362</v>
      </c>
      <c r="AG44" s="616"/>
    </row>
    <row r="45" spans="1:33" ht="15.75" customHeight="1">
      <c r="A45" s="623" t="s">
        <v>182</v>
      </c>
      <c r="B45" s="27" t="s">
        <v>27</v>
      </c>
      <c r="C45" s="605" t="s">
        <v>33</v>
      </c>
      <c r="D45" s="606"/>
      <c r="E45" s="27">
        <v>34.36</v>
      </c>
      <c r="F45" s="104">
        <v>2269</v>
      </c>
      <c r="G45" s="96">
        <f t="shared" ref="G45:G47" si="31">E45*F45</f>
        <v>77962.84</v>
      </c>
      <c r="H45" s="31" t="s">
        <v>40</v>
      </c>
      <c r="I45" s="102">
        <v>10</v>
      </c>
      <c r="J45" s="29">
        <v>3000</v>
      </c>
      <c r="K45" s="12">
        <f t="shared" si="1"/>
        <v>300</v>
      </c>
      <c r="L45" s="102">
        <v>10</v>
      </c>
      <c r="M45" s="13">
        <f t="shared" ref="M45:M47" si="32">F45/V45*60</f>
        <v>2896.5957446808516</v>
      </c>
      <c r="N45" s="13">
        <f t="shared" si="3"/>
        <v>289.65957446808517</v>
      </c>
      <c r="O45" s="14">
        <f t="shared" si="4"/>
        <v>0</v>
      </c>
      <c r="P45" s="15">
        <f t="shared" si="5"/>
        <v>-10.340425531914832</v>
      </c>
      <c r="Q45" s="95">
        <f t="shared" si="6"/>
        <v>0.96553191489361723</v>
      </c>
      <c r="R45" s="626">
        <f>Q48</f>
        <v>0.95849517507345394</v>
      </c>
      <c r="S45" s="32">
        <v>0.20833333333333334</v>
      </c>
      <c r="T45" s="32">
        <v>0.24097222222222223</v>
      </c>
      <c r="U45" s="20"/>
      <c r="V45" s="103">
        <f t="shared" ref="V45:V47" si="33">(T45-S45)*24*60</f>
        <v>46.999999999999993</v>
      </c>
      <c r="W45" s="16"/>
      <c r="X45" s="16"/>
      <c r="Y45" s="19"/>
      <c r="Z45" s="19"/>
      <c r="AA45" s="607"/>
      <c r="AB45" s="608"/>
      <c r="AC45" s="18">
        <v>3</v>
      </c>
      <c r="AD45" s="18"/>
      <c r="AE45" s="14">
        <f t="shared" si="8"/>
        <v>-103.40425531914843</v>
      </c>
      <c r="AF45" s="95">
        <f t="shared" si="9"/>
        <v>0.96553191489361723</v>
      </c>
      <c r="AG45" s="626">
        <f>AF48</f>
        <v>0.95849517507345383</v>
      </c>
    </row>
    <row r="46" spans="1:33" ht="15.75" customHeight="1">
      <c r="A46" s="624" t="s">
        <v>183</v>
      </c>
      <c r="B46" s="27" t="s">
        <v>27</v>
      </c>
      <c r="C46" s="605" t="s">
        <v>29</v>
      </c>
      <c r="D46" s="606"/>
      <c r="E46" s="27">
        <v>21.13</v>
      </c>
      <c r="F46" s="104">
        <v>6400</v>
      </c>
      <c r="G46" s="96">
        <f t="shared" si="31"/>
        <v>135232</v>
      </c>
      <c r="H46" s="31" t="s">
        <v>40</v>
      </c>
      <c r="I46" s="102">
        <v>10</v>
      </c>
      <c r="J46" s="29">
        <v>3000</v>
      </c>
      <c r="K46" s="12">
        <f t="shared" si="1"/>
        <v>300</v>
      </c>
      <c r="L46" s="102">
        <v>10</v>
      </c>
      <c r="M46" s="13">
        <f t="shared" si="32"/>
        <v>2865.6716417910447</v>
      </c>
      <c r="N46" s="13">
        <f t="shared" si="3"/>
        <v>286.56716417910445</v>
      </c>
      <c r="O46" s="14">
        <f t="shared" si="4"/>
        <v>0</v>
      </c>
      <c r="P46" s="15">
        <f t="shared" si="5"/>
        <v>-13.432835820895548</v>
      </c>
      <c r="Q46" s="95">
        <f t="shared" si="6"/>
        <v>0.9552238805970148</v>
      </c>
      <c r="R46" s="627"/>
      <c r="S46" s="32">
        <v>0.24652777777777779</v>
      </c>
      <c r="T46" s="32">
        <v>0.33958333333333335</v>
      </c>
      <c r="U46" s="96">
        <f t="shared" ref="U46:U47" si="34">(S46-T45)*24*60</f>
        <v>8.0000000000000107</v>
      </c>
      <c r="V46" s="103">
        <f t="shared" si="33"/>
        <v>134</v>
      </c>
      <c r="W46" s="16"/>
      <c r="X46" s="16"/>
      <c r="Y46" s="19"/>
      <c r="Z46" s="19"/>
      <c r="AA46" s="607"/>
      <c r="AB46" s="608"/>
      <c r="AC46" s="18"/>
      <c r="AD46" s="18"/>
      <c r="AE46" s="14">
        <f t="shared" si="8"/>
        <v>-134.32835820895525</v>
      </c>
      <c r="AF46" s="95">
        <f t="shared" si="9"/>
        <v>0.95522388059701491</v>
      </c>
      <c r="AG46" s="627"/>
    </row>
    <row r="47" spans="1:33" ht="15.75" customHeight="1">
      <c r="A47" s="624" t="s">
        <v>75</v>
      </c>
      <c r="B47" s="27" t="s">
        <v>27</v>
      </c>
      <c r="C47" s="605" t="s">
        <v>30</v>
      </c>
      <c r="D47" s="606"/>
      <c r="E47" s="27">
        <v>27.17</v>
      </c>
      <c r="F47" s="104">
        <v>7065</v>
      </c>
      <c r="G47" s="96">
        <f t="shared" si="31"/>
        <v>191956.05000000002</v>
      </c>
      <c r="H47" s="31" t="s">
        <v>40</v>
      </c>
      <c r="I47" s="102">
        <v>10</v>
      </c>
      <c r="J47" s="29">
        <v>3000</v>
      </c>
      <c r="K47" s="12">
        <f t="shared" si="1"/>
        <v>300</v>
      </c>
      <c r="L47" s="102">
        <v>10</v>
      </c>
      <c r="M47" s="13">
        <f t="shared" si="32"/>
        <v>2864.1891891891887</v>
      </c>
      <c r="N47" s="13">
        <f t="shared" si="3"/>
        <v>286.41891891891885</v>
      </c>
      <c r="O47" s="14">
        <f t="shared" si="4"/>
        <v>0</v>
      </c>
      <c r="P47" s="15">
        <f t="shared" si="5"/>
        <v>-13.581081081081152</v>
      </c>
      <c r="Q47" s="95">
        <f t="shared" si="6"/>
        <v>0.95472972972972947</v>
      </c>
      <c r="R47" s="627"/>
      <c r="S47" s="32">
        <v>0.34305555555555556</v>
      </c>
      <c r="T47" s="32">
        <v>0.44583333333333336</v>
      </c>
      <c r="U47" s="96">
        <f t="shared" si="34"/>
        <v>4.9999999999999822</v>
      </c>
      <c r="V47" s="103">
        <f t="shared" si="33"/>
        <v>148.00000000000003</v>
      </c>
      <c r="W47" s="16"/>
      <c r="X47" s="16"/>
      <c r="Y47" s="19"/>
      <c r="Z47" s="19"/>
      <c r="AA47" s="607"/>
      <c r="AB47" s="608"/>
      <c r="AC47" s="18"/>
      <c r="AD47" s="18"/>
      <c r="AE47" s="14">
        <f t="shared" si="8"/>
        <v>-135.81081081081129</v>
      </c>
      <c r="AF47" s="95">
        <f t="shared" si="9"/>
        <v>0.95472972972972958</v>
      </c>
      <c r="AG47" s="627"/>
    </row>
    <row r="48" spans="1:33" ht="15.75" customHeight="1">
      <c r="A48" s="625" t="s">
        <v>183</v>
      </c>
      <c r="B48" s="27" t="s">
        <v>70</v>
      </c>
      <c r="C48" s="609"/>
      <c r="D48" s="610"/>
      <c r="E48" s="93"/>
      <c r="F48" s="104"/>
      <c r="G48" s="96"/>
      <c r="H48" s="104"/>
      <c r="I48" s="21">
        <v>10</v>
      </c>
      <c r="J48" s="29">
        <v>3000</v>
      </c>
      <c r="K48" s="12">
        <f t="shared" si="1"/>
        <v>300</v>
      </c>
      <c r="L48" s="21">
        <v>10</v>
      </c>
      <c r="M48" s="13">
        <f>AVERAGE(M45:M47)</f>
        <v>2875.4855252203615</v>
      </c>
      <c r="N48" s="12">
        <f t="shared" si="3"/>
        <v>287.54855252203618</v>
      </c>
      <c r="O48" s="14">
        <f t="shared" si="4"/>
        <v>0</v>
      </c>
      <c r="P48" s="15">
        <f t="shared" si="5"/>
        <v>-12.451447477963825</v>
      </c>
      <c r="Q48" s="95">
        <f t="shared" si="6"/>
        <v>0.95849517507345394</v>
      </c>
      <c r="R48" s="628"/>
      <c r="S48" s="32"/>
      <c r="T48" s="32"/>
      <c r="U48" s="96"/>
      <c r="V48" s="103"/>
      <c r="W48" s="16"/>
      <c r="X48" s="16"/>
      <c r="Y48" s="22">
        <f>SUM(Y45:Y47)</f>
        <v>0</v>
      </c>
      <c r="Z48" s="22">
        <f>SUM(Z45:Z47)</f>
        <v>0</v>
      </c>
      <c r="AA48" s="619"/>
      <c r="AB48" s="620"/>
      <c r="AC48" s="22">
        <v>3</v>
      </c>
      <c r="AD48" s="22">
        <f>SUM(AD45:AD47)</f>
        <v>0</v>
      </c>
      <c r="AE48" s="14">
        <f t="shared" si="8"/>
        <v>-124.51447477963848</v>
      </c>
      <c r="AF48" s="95">
        <f t="shared" si="9"/>
        <v>0.95849517507345383</v>
      </c>
      <c r="AG48" s="628"/>
    </row>
    <row r="49" spans="1:33" ht="15.75" customHeight="1">
      <c r="A49" s="621" t="s">
        <v>184</v>
      </c>
      <c r="B49" s="27" t="s">
        <v>5</v>
      </c>
      <c r="C49" s="660" t="s">
        <v>15</v>
      </c>
      <c r="D49" s="660"/>
      <c r="E49" s="27">
        <v>59.04</v>
      </c>
      <c r="F49" s="30">
        <v>2401</v>
      </c>
      <c r="G49" s="96">
        <f t="shared" ref="G49:G55" si="35">E49*F49</f>
        <v>141755.04</v>
      </c>
      <c r="H49" s="31" t="s">
        <v>40</v>
      </c>
      <c r="I49" s="102">
        <v>19</v>
      </c>
      <c r="J49" s="29">
        <v>2000</v>
      </c>
      <c r="K49" s="12">
        <f t="shared" si="1"/>
        <v>105.26315789473684</v>
      </c>
      <c r="L49" s="102">
        <v>19</v>
      </c>
      <c r="M49" s="13">
        <f t="shared" ref="M49" si="36">F49/V49*60</f>
        <v>1920.7999999999997</v>
      </c>
      <c r="N49" s="13">
        <f t="shared" si="3"/>
        <v>101.09473684210525</v>
      </c>
      <c r="O49" s="14">
        <f t="shared" si="4"/>
        <v>0</v>
      </c>
      <c r="P49" s="15">
        <f t="shared" si="5"/>
        <v>-4.1684210526315866</v>
      </c>
      <c r="Q49" s="95">
        <f t="shared" si="6"/>
        <v>0.96039999999999992</v>
      </c>
      <c r="R49" s="616">
        <f>Q56</f>
        <v>0.96051766472822919</v>
      </c>
      <c r="S49" s="32">
        <v>0.20833333333333334</v>
      </c>
      <c r="T49" s="32">
        <v>0.26041666666666669</v>
      </c>
      <c r="U49" s="20"/>
      <c r="V49" s="103">
        <f t="shared" ref="V49:V55" si="37">(T49-S49)*24*60</f>
        <v>75.000000000000014</v>
      </c>
      <c r="W49" s="16"/>
      <c r="X49" s="16"/>
      <c r="Y49" s="20"/>
      <c r="Z49" s="20"/>
      <c r="AA49" s="612"/>
      <c r="AB49" s="612"/>
      <c r="AC49" s="18">
        <v>7</v>
      </c>
      <c r="AD49" s="18"/>
      <c r="AE49" s="14">
        <f t="shared" si="8"/>
        <v>-79.200000000000273</v>
      </c>
      <c r="AF49" s="95">
        <f t="shared" si="9"/>
        <v>0.96039999999999981</v>
      </c>
      <c r="AG49" s="616">
        <f>AF56</f>
        <v>0.96051766472822908</v>
      </c>
    </row>
    <row r="50" spans="1:33" ht="15.75" customHeight="1">
      <c r="A50" s="621" t="s">
        <v>71</v>
      </c>
      <c r="B50" s="27" t="s">
        <v>5</v>
      </c>
      <c r="C50" s="660" t="s">
        <v>31</v>
      </c>
      <c r="D50" s="660"/>
      <c r="E50" s="27">
        <v>56.43</v>
      </c>
      <c r="F50" s="30">
        <v>1376</v>
      </c>
      <c r="G50" s="96">
        <f t="shared" si="35"/>
        <v>77647.679999999993</v>
      </c>
      <c r="H50" s="31" t="s">
        <v>40</v>
      </c>
      <c r="I50" s="102">
        <v>22</v>
      </c>
      <c r="J50" s="29">
        <v>2000</v>
      </c>
      <c r="K50" s="12">
        <f t="shared" si="1"/>
        <v>90.909090909090907</v>
      </c>
      <c r="L50" s="102">
        <v>22</v>
      </c>
      <c r="M50" s="13">
        <f>F50/V50*60</f>
        <v>1919.9999999999998</v>
      </c>
      <c r="N50" s="13">
        <f t="shared" si="3"/>
        <v>87.272727272727266</v>
      </c>
      <c r="O50" s="14">
        <f t="shared" si="4"/>
        <v>0</v>
      </c>
      <c r="P50" s="15">
        <f t="shared" si="5"/>
        <v>-3.6363636363636402</v>
      </c>
      <c r="Q50" s="95">
        <f t="shared" si="6"/>
        <v>0.96</v>
      </c>
      <c r="R50" s="616"/>
      <c r="S50" s="32">
        <v>0.26527777777777778</v>
      </c>
      <c r="T50" s="32">
        <v>0.2951388888888889</v>
      </c>
      <c r="U50" s="96">
        <f t="shared" ref="U50:U55" si="38">IF(S50=TIME(17,0,0),"",(S50-T49)*24*60)</f>
        <v>6.9999999999999751</v>
      </c>
      <c r="V50" s="103">
        <f t="shared" si="37"/>
        <v>43.000000000000007</v>
      </c>
      <c r="W50" s="16"/>
      <c r="X50" s="16"/>
      <c r="Y50" s="16"/>
      <c r="Z50" s="16"/>
      <c r="AA50" s="612"/>
      <c r="AB50" s="612"/>
      <c r="AC50" s="18"/>
      <c r="AD50" s="18"/>
      <c r="AE50" s="14">
        <f t="shared" si="8"/>
        <v>-80.000000000000227</v>
      </c>
      <c r="AF50" s="95">
        <f t="shared" si="9"/>
        <v>0.95999999999999985</v>
      </c>
      <c r="AG50" s="616"/>
    </row>
    <row r="51" spans="1:33" ht="15.75" customHeight="1">
      <c r="A51" s="621" t="s">
        <v>184</v>
      </c>
      <c r="B51" s="27" t="s">
        <v>8</v>
      </c>
      <c r="C51" s="605" t="s">
        <v>61</v>
      </c>
      <c r="D51" s="606"/>
      <c r="E51" s="27">
        <v>46</v>
      </c>
      <c r="F51" s="30">
        <v>2461</v>
      </c>
      <c r="G51" s="96">
        <f t="shared" si="35"/>
        <v>113206</v>
      </c>
      <c r="H51" s="31" t="s">
        <v>40</v>
      </c>
      <c r="I51" s="102">
        <v>16</v>
      </c>
      <c r="J51" s="29">
        <v>2000</v>
      </c>
      <c r="K51" s="12">
        <f t="shared" si="1"/>
        <v>125</v>
      </c>
      <c r="L51" s="102">
        <v>16</v>
      </c>
      <c r="M51" s="13">
        <f t="shared" ref="M51:M55" si="39">F51/V51*60</f>
        <v>1917.6623376623384</v>
      </c>
      <c r="N51" s="13">
        <f t="shared" si="3"/>
        <v>119.85389610389615</v>
      </c>
      <c r="O51" s="14">
        <f t="shared" si="4"/>
        <v>0</v>
      </c>
      <c r="P51" s="15">
        <f t="shared" si="5"/>
        <v>-5.1461038961038525</v>
      </c>
      <c r="Q51" s="95">
        <f t="shared" si="6"/>
        <v>0.95883116883116914</v>
      </c>
      <c r="R51" s="616"/>
      <c r="S51" s="32">
        <v>0.2986111111111111</v>
      </c>
      <c r="T51" s="32">
        <v>0.3520833333333333</v>
      </c>
      <c r="U51" s="96">
        <f t="shared" si="38"/>
        <v>4.9999999999999822</v>
      </c>
      <c r="V51" s="103">
        <f t="shared" si="37"/>
        <v>76.999999999999972</v>
      </c>
      <c r="W51" s="16"/>
      <c r="X51" s="16"/>
      <c r="Y51" s="19"/>
      <c r="Z51" s="19"/>
      <c r="AA51" s="612"/>
      <c r="AB51" s="612"/>
      <c r="AC51" s="18"/>
      <c r="AD51" s="18"/>
      <c r="AE51" s="14">
        <f t="shared" si="8"/>
        <v>-82.337662337661641</v>
      </c>
      <c r="AF51" s="95">
        <f t="shared" si="9"/>
        <v>0.95883116883116914</v>
      </c>
      <c r="AG51" s="616"/>
    </row>
    <row r="52" spans="1:33" ht="15.75" customHeight="1">
      <c r="A52" s="621" t="s">
        <v>184</v>
      </c>
      <c r="B52" s="27" t="s">
        <v>8</v>
      </c>
      <c r="C52" s="98" t="s">
        <v>79</v>
      </c>
      <c r="D52" s="99"/>
      <c r="E52" s="27">
        <v>46</v>
      </c>
      <c r="F52" s="30">
        <v>3152</v>
      </c>
      <c r="G52" s="96">
        <f t="shared" si="35"/>
        <v>144992</v>
      </c>
      <c r="H52" s="31" t="s">
        <v>40</v>
      </c>
      <c r="I52" s="102">
        <v>17</v>
      </c>
      <c r="J52" s="29">
        <v>2000</v>
      </c>
      <c r="K52" s="12">
        <f t="shared" si="1"/>
        <v>117.64705882352941</v>
      </c>
      <c r="L52" s="102">
        <v>17</v>
      </c>
      <c r="M52" s="13">
        <f t="shared" si="39"/>
        <v>1910.3030303030309</v>
      </c>
      <c r="N52" s="13">
        <f t="shared" si="3"/>
        <v>112.37076648841358</v>
      </c>
      <c r="O52" s="14">
        <f t="shared" si="4"/>
        <v>0</v>
      </c>
      <c r="P52" s="15">
        <f t="shared" si="5"/>
        <v>-5.2762923351158264</v>
      </c>
      <c r="Q52" s="95">
        <f t="shared" si="6"/>
        <v>0.95515151515151553</v>
      </c>
      <c r="R52" s="616"/>
      <c r="S52" s="32">
        <v>0.35555555555555551</v>
      </c>
      <c r="T52" s="32">
        <v>0.42430555555555549</v>
      </c>
      <c r="U52" s="96">
        <f t="shared" si="38"/>
        <v>4.9999999999999822</v>
      </c>
      <c r="V52" s="103">
        <f t="shared" si="37"/>
        <v>98.999999999999972</v>
      </c>
      <c r="W52" s="16"/>
      <c r="X52" s="16"/>
      <c r="Y52" s="19"/>
      <c r="Z52" s="19"/>
      <c r="AA52" s="612"/>
      <c r="AB52" s="612"/>
      <c r="AC52" s="18"/>
      <c r="AD52" s="18"/>
      <c r="AE52" s="14">
        <f t="shared" si="8"/>
        <v>-89.696969696969063</v>
      </c>
      <c r="AF52" s="95">
        <f t="shared" si="9"/>
        <v>0.95515151515151542</v>
      </c>
      <c r="AG52" s="616"/>
    </row>
    <row r="53" spans="1:33" ht="15.75" customHeight="1">
      <c r="A53" s="621" t="s">
        <v>185</v>
      </c>
      <c r="B53" s="27" t="s">
        <v>5</v>
      </c>
      <c r="C53" s="98" t="s">
        <v>32</v>
      </c>
      <c r="D53" s="99"/>
      <c r="E53" s="27">
        <v>55.56</v>
      </c>
      <c r="F53" s="30">
        <v>2121</v>
      </c>
      <c r="G53" s="96">
        <f t="shared" si="35"/>
        <v>117842.76000000001</v>
      </c>
      <c r="H53" s="31" t="s">
        <v>40</v>
      </c>
      <c r="I53" s="102">
        <v>17</v>
      </c>
      <c r="J53" s="29">
        <v>2000</v>
      </c>
      <c r="K53" s="12">
        <f t="shared" si="1"/>
        <v>117.64705882352941</v>
      </c>
      <c r="L53" s="102">
        <v>17</v>
      </c>
      <c r="M53" s="13">
        <f t="shared" si="39"/>
        <v>1928.1818181818201</v>
      </c>
      <c r="N53" s="13">
        <f t="shared" si="3"/>
        <v>113.42245989304824</v>
      </c>
      <c r="O53" s="14">
        <f t="shared" si="4"/>
        <v>0</v>
      </c>
      <c r="P53" s="15">
        <f t="shared" si="5"/>
        <v>-4.2245989304811644</v>
      </c>
      <c r="Q53" s="95">
        <f t="shared" si="6"/>
        <v>0.96409090909091011</v>
      </c>
      <c r="R53" s="616"/>
      <c r="S53" s="32">
        <v>0.70833333333333337</v>
      </c>
      <c r="T53" s="32">
        <v>0.75416666666666665</v>
      </c>
      <c r="U53" s="96" t="str">
        <f t="shared" si="38"/>
        <v/>
      </c>
      <c r="V53" s="103">
        <f t="shared" si="37"/>
        <v>65.999999999999929</v>
      </c>
      <c r="W53" s="16"/>
      <c r="X53" s="16"/>
      <c r="Y53" s="19"/>
      <c r="Z53" s="19"/>
      <c r="AA53" s="612"/>
      <c r="AB53" s="612"/>
      <c r="AC53" s="18"/>
      <c r="AD53" s="18"/>
      <c r="AE53" s="14">
        <f t="shared" si="8"/>
        <v>-71.818181818179937</v>
      </c>
      <c r="AF53" s="95">
        <f t="shared" si="9"/>
        <v>0.96409090909091</v>
      </c>
      <c r="AG53" s="616"/>
    </row>
    <row r="54" spans="1:33" ht="15.75" customHeight="1">
      <c r="A54" s="621" t="s">
        <v>71</v>
      </c>
      <c r="B54" s="27" t="s">
        <v>5</v>
      </c>
      <c r="C54" s="605" t="s">
        <v>77</v>
      </c>
      <c r="D54" s="606"/>
      <c r="E54" s="27">
        <v>54.09</v>
      </c>
      <c r="F54" s="30">
        <v>1647</v>
      </c>
      <c r="G54" s="96">
        <f t="shared" si="35"/>
        <v>89086.23000000001</v>
      </c>
      <c r="H54" s="31" t="s">
        <v>40</v>
      </c>
      <c r="I54" s="102">
        <v>13</v>
      </c>
      <c r="J54" s="29">
        <v>2000</v>
      </c>
      <c r="K54" s="12">
        <f t="shared" si="1"/>
        <v>153.84615384615384</v>
      </c>
      <c r="L54" s="102">
        <v>13</v>
      </c>
      <c r="M54" s="13">
        <f t="shared" si="39"/>
        <v>1937.6470588235304</v>
      </c>
      <c r="N54" s="13">
        <f t="shared" si="3"/>
        <v>149.04977375565619</v>
      </c>
      <c r="O54" s="14">
        <f t="shared" si="4"/>
        <v>0</v>
      </c>
      <c r="P54" s="15">
        <f t="shared" si="5"/>
        <v>-4.7963800904976495</v>
      </c>
      <c r="Q54" s="95">
        <f t="shared" si="6"/>
        <v>0.96882352941176531</v>
      </c>
      <c r="R54" s="616"/>
      <c r="S54" s="32">
        <v>0.75972222222222219</v>
      </c>
      <c r="T54" s="32">
        <v>0.79513888888888884</v>
      </c>
      <c r="U54" s="96">
        <f t="shared" si="38"/>
        <v>7.9999999999999716</v>
      </c>
      <c r="V54" s="103">
        <f t="shared" si="37"/>
        <v>50.999999999999979</v>
      </c>
      <c r="W54" s="16"/>
      <c r="X54" s="16"/>
      <c r="Y54" s="19"/>
      <c r="Z54" s="19"/>
      <c r="AA54" s="607"/>
      <c r="AB54" s="608"/>
      <c r="AC54" s="18"/>
      <c r="AD54" s="18"/>
      <c r="AE54" s="14">
        <f t="shared" si="8"/>
        <v>-62.352941176469585</v>
      </c>
      <c r="AF54" s="95">
        <f t="shared" si="9"/>
        <v>0.96882352941176519</v>
      </c>
      <c r="AG54" s="616"/>
    </row>
    <row r="55" spans="1:33" ht="15.75" customHeight="1">
      <c r="A55" s="621" t="s">
        <v>71</v>
      </c>
      <c r="B55" s="27" t="s">
        <v>5</v>
      </c>
      <c r="C55" s="605" t="s">
        <v>65</v>
      </c>
      <c r="D55" s="606"/>
      <c r="E55" s="27">
        <v>56.43</v>
      </c>
      <c r="F55" s="30">
        <v>1562</v>
      </c>
      <c r="G55" s="96">
        <f t="shared" si="35"/>
        <v>88143.66</v>
      </c>
      <c r="H55" s="31" t="s">
        <v>40</v>
      </c>
      <c r="I55" s="102">
        <v>13</v>
      </c>
      <c r="J55" s="29">
        <v>2000</v>
      </c>
      <c r="K55" s="12">
        <f t="shared" si="1"/>
        <v>153.84615384615384</v>
      </c>
      <c r="L55" s="102">
        <v>13</v>
      </c>
      <c r="M55" s="13">
        <f t="shared" si="39"/>
        <v>1912.6530612244903</v>
      </c>
      <c r="N55" s="13">
        <f t="shared" si="3"/>
        <v>147.12715855573003</v>
      </c>
      <c r="O55" s="14">
        <f t="shared" si="4"/>
        <v>0</v>
      </c>
      <c r="P55" s="15">
        <f t="shared" si="5"/>
        <v>-6.7189952904238055</v>
      </c>
      <c r="Q55" s="95">
        <f t="shared" si="6"/>
        <v>0.95632653061224526</v>
      </c>
      <c r="R55" s="616"/>
      <c r="S55" s="32">
        <v>0.80069444444444438</v>
      </c>
      <c r="T55" s="32">
        <v>0.83472222222222214</v>
      </c>
      <c r="U55" s="96">
        <f t="shared" si="38"/>
        <v>7.9999999999999716</v>
      </c>
      <c r="V55" s="103">
        <f t="shared" si="37"/>
        <v>48.999999999999986</v>
      </c>
      <c r="W55" s="16"/>
      <c r="X55" s="16"/>
      <c r="Y55" s="19"/>
      <c r="Z55" s="19"/>
      <c r="AA55" s="607"/>
      <c r="AB55" s="608"/>
      <c r="AC55" s="18"/>
      <c r="AD55" s="18"/>
      <c r="AE55" s="14">
        <f t="shared" si="8"/>
        <v>-87.34693877550967</v>
      </c>
      <c r="AF55" s="95">
        <f t="shared" si="9"/>
        <v>0.95632653061224515</v>
      </c>
      <c r="AG55" s="616"/>
    </row>
    <row r="56" spans="1:33">
      <c r="A56" s="622" t="s">
        <v>71</v>
      </c>
      <c r="B56" s="27" t="s">
        <v>186</v>
      </c>
      <c r="C56" s="658"/>
      <c r="D56" s="658"/>
      <c r="E56" s="97"/>
      <c r="F56" s="28"/>
      <c r="G56" s="12"/>
      <c r="H56" s="104"/>
      <c r="I56" s="21">
        <v>16.714285714285715</v>
      </c>
      <c r="J56" s="29">
        <v>2000</v>
      </c>
      <c r="K56" s="12">
        <f t="shared" si="1"/>
        <v>119.65811965811965</v>
      </c>
      <c r="L56" s="21">
        <v>16.714285714285715</v>
      </c>
      <c r="M56" s="13">
        <f>AVERAGE(M49:M55)</f>
        <v>1921.0353294564582</v>
      </c>
      <c r="N56" s="12">
        <f t="shared" si="3"/>
        <v>114.93373765978809</v>
      </c>
      <c r="O56" s="14">
        <f t="shared" si="4"/>
        <v>0</v>
      </c>
      <c r="P56" s="15">
        <f t="shared" si="5"/>
        <v>-4.7243819983315518</v>
      </c>
      <c r="Q56" s="95">
        <f t="shared" si="6"/>
        <v>0.96051766472822919</v>
      </c>
      <c r="R56" s="616"/>
      <c r="S56" s="32"/>
      <c r="T56" s="32"/>
      <c r="U56" s="96"/>
      <c r="V56" s="103"/>
      <c r="W56" s="12"/>
      <c r="X56" s="12"/>
      <c r="Y56" s="22">
        <f>SUM(Y49:Y55)</f>
        <v>0</v>
      </c>
      <c r="Z56" s="22">
        <f>SUM(Z49:Z55)</f>
        <v>0</v>
      </c>
      <c r="AA56" s="611"/>
      <c r="AB56" s="611"/>
      <c r="AC56" s="22">
        <v>7</v>
      </c>
      <c r="AD56" s="22">
        <f>SUM(AD49:AD55)</f>
        <v>0</v>
      </c>
      <c r="AE56" s="14">
        <f>M56-J56</f>
        <v>-78.964670543541843</v>
      </c>
      <c r="AF56" s="95">
        <f t="shared" si="9"/>
        <v>0.96051766472822908</v>
      </c>
      <c r="AG56" s="616"/>
    </row>
    <row r="57" spans="1:33" ht="15.75" customHeight="1">
      <c r="A57" s="617" t="s">
        <v>187</v>
      </c>
      <c r="B57" s="104" t="s">
        <v>27</v>
      </c>
      <c r="C57" s="660" t="s">
        <v>28</v>
      </c>
      <c r="D57" s="660"/>
      <c r="E57" s="27">
        <v>35.119999999999997</v>
      </c>
      <c r="F57" s="30">
        <v>5075</v>
      </c>
      <c r="G57" s="96">
        <f t="shared" ref="G57:G60" si="40">E57*F57</f>
        <v>178234</v>
      </c>
      <c r="H57" s="31" t="s">
        <v>40</v>
      </c>
      <c r="I57" s="102">
        <v>10</v>
      </c>
      <c r="J57" s="29">
        <v>3000</v>
      </c>
      <c r="K57" s="12">
        <f t="shared" si="1"/>
        <v>300</v>
      </c>
      <c r="L57" s="102">
        <v>10</v>
      </c>
      <c r="M57" s="13">
        <f t="shared" ref="M57:M60" si="41">F57/V57*60</f>
        <v>2872.6415094339627</v>
      </c>
      <c r="N57" s="12">
        <f t="shared" si="3"/>
        <v>287.26415094339626</v>
      </c>
      <c r="O57" s="14">
        <f t="shared" si="4"/>
        <v>0</v>
      </c>
      <c r="P57" s="15">
        <f t="shared" si="5"/>
        <v>-12.73584905660374</v>
      </c>
      <c r="Q57" s="95">
        <f t="shared" si="6"/>
        <v>0.95754716981132082</v>
      </c>
      <c r="R57" s="616">
        <f>Q61</f>
        <v>0.9578570305480687</v>
      </c>
      <c r="S57" s="32">
        <v>0.20833333333333334</v>
      </c>
      <c r="T57" s="32">
        <v>0.28194444444444444</v>
      </c>
      <c r="U57" s="96"/>
      <c r="V57" s="103">
        <f t="shared" ref="V57:V60" si="42">(T57-S57)*24*60</f>
        <v>105.99999999999999</v>
      </c>
      <c r="W57" s="16"/>
      <c r="X57" s="16"/>
      <c r="Y57" s="20"/>
      <c r="Z57" s="20"/>
      <c r="AA57" s="612"/>
      <c r="AB57" s="612"/>
      <c r="AC57" s="18">
        <v>4</v>
      </c>
      <c r="AD57" s="18"/>
      <c r="AE57" s="14">
        <f t="shared" ref="AE57:AE69" si="43">M57-J57</f>
        <v>-127.35849056603729</v>
      </c>
      <c r="AF57" s="95">
        <f t="shared" si="9"/>
        <v>0.95754716981132093</v>
      </c>
      <c r="AG57" s="616">
        <f>AF61</f>
        <v>0.95785703054806859</v>
      </c>
    </row>
    <row r="58" spans="1:33" ht="15.75" customHeight="1">
      <c r="A58" s="617" t="s">
        <v>188</v>
      </c>
      <c r="B58" s="104" t="s">
        <v>27</v>
      </c>
      <c r="C58" s="660" t="s">
        <v>34</v>
      </c>
      <c r="D58" s="660"/>
      <c r="E58" s="27">
        <v>26.78</v>
      </c>
      <c r="F58" s="30">
        <v>2681</v>
      </c>
      <c r="G58" s="96">
        <f t="shared" si="40"/>
        <v>71797.180000000008</v>
      </c>
      <c r="H58" s="31" t="s">
        <v>40</v>
      </c>
      <c r="I58" s="102">
        <v>10</v>
      </c>
      <c r="J58" s="29">
        <v>3000</v>
      </c>
      <c r="K58" s="12">
        <f t="shared" si="1"/>
        <v>300</v>
      </c>
      <c r="L58" s="102">
        <v>10</v>
      </c>
      <c r="M58" s="13">
        <f t="shared" si="41"/>
        <v>2872.5000000000023</v>
      </c>
      <c r="N58" s="12">
        <f t="shared" si="3"/>
        <v>287.25000000000023</v>
      </c>
      <c r="O58" s="14">
        <f t="shared" si="4"/>
        <v>0</v>
      </c>
      <c r="P58" s="15">
        <f t="shared" si="5"/>
        <v>-12.749999999999773</v>
      </c>
      <c r="Q58" s="95">
        <f t="shared" si="6"/>
        <v>0.95750000000000079</v>
      </c>
      <c r="R58" s="616"/>
      <c r="S58" s="32">
        <v>0.28611111111111109</v>
      </c>
      <c r="T58" s="32">
        <v>0.32499999999999996</v>
      </c>
      <c r="U58" s="96">
        <f t="shared" ref="U58:U60" si="44">(S58-T57)*24*60</f>
        <v>5.9999999999999787</v>
      </c>
      <c r="V58" s="103">
        <f t="shared" si="42"/>
        <v>55.999999999999957</v>
      </c>
      <c r="W58" s="96"/>
      <c r="X58" s="96"/>
      <c r="Y58" s="96"/>
      <c r="Z58" s="96"/>
      <c r="AA58" s="612"/>
      <c r="AB58" s="612"/>
      <c r="AC58" s="18"/>
      <c r="AD58" s="18"/>
      <c r="AE58" s="14">
        <f t="shared" si="43"/>
        <v>-127.49999999999773</v>
      </c>
      <c r="AF58" s="95">
        <f t="shared" si="9"/>
        <v>0.95750000000000079</v>
      </c>
      <c r="AG58" s="616"/>
    </row>
    <row r="59" spans="1:33" ht="15.75" customHeight="1">
      <c r="A59" s="617" t="s">
        <v>72</v>
      </c>
      <c r="B59" s="104" t="s">
        <v>27</v>
      </c>
      <c r="C59" s="660" t="s">
        <v>35</v>
      </c>
      <c r="D59" s="660"/>
      <c r="E59" s="27">
        <v>35.869999999999997</v>
      </c>
      <c r="F59" s="30">
        <v>3565</v>
      </c>
      <c r="G59" s="96">
        <f t="shared" si="40"/>
        <v>127876.54999999999</v>
      </c>
      <c r="H59" s="31" t="s">
        <v>40</v>
      </c>
      <c r="I59" s="102">
        <v>9</v>
      </c>
      <c r="J59" s="29">
        <v>3000</v>
      </c>
      <c r="K59" s="12">
        <f t="shared" si="1"/>
        <v>333.33333333333331</v>
      </c>
      <c r="L59" s="102">
        <v>9</v>
      </c>
      <c r="M59" s="13">
        <f t="shared" si="41"/>
        <v>2852.0000000000014</v>
      </c>
      <c r="N59" s="12">
        <f t="shared" si="3"/>
        <v>316.88888888888903</v>
      </c>
      <c r="O59" s="14">
        <f t="shared" si="4"/>
        <v>0</v>
      </c>
      <c r="P59" s="15">
        <f t="shared" si="5"/>
        <v>-16.444444444444287</v>
      </c>
      <c r="Q59" s="95">
        <f t="shared" si="6"/>
        <v>0.9506666666666671</v>
      </c>
      <c r="R59" s="616"/>
      <c r="S59" s="32">
        <v>0.32916666666666661</v>
      </c>
      <c r="T59" s="32">
        <v>0.38124999999999992</v>
      </c>
      <c r="U59" s="96">
        <f t="shared" si="44"/>
        <v>5.9999999999999787</v>
      </c>
      <c r="V59" s="103">
        <f t="shared" si="42"/>
        <v>74.999999999999972</v>
      </c>
      <c r="W59" s="96"/>
      <c r="X59" s="96"/>
      <c r="Y59" s="96"/>
      <c r="Z59" s="96"/>
      <c r="AA59" s="612"/>
      <c r="AB59" s="612"/>
      <c r="AC59" s="18"/>
      <c r="AD59" s="18"/>
      <c r="AE59" s="14">
        <f t="shared" si="43"/>
        <v>-147.99999999999864</v>
      </c>
      <c r="AF59" s="95">
        <f t="shared" si="9"/>
        <v>0.9506666666666671</v>
      </c>
      <c r="AG59" s="616"/>
    </row>
    <row r="60" spans="1:33" ht="15.75" customHeight="1">
      <c r="A60" s="617" t="s">
        <v>187</v>
      </c>
      <c r="B60" s="104" t="s">
        <v>27</v>
      </c>
      <c r="C60" s="660" t="s">
        <v>36</v>
      </c>
      <c r="D60" s="660"/>
      <c r="E60" s="27">
        <v>34.35</v>
      </c>
      <c r="F60" s="30">
        <v>2028</v>
      </c>
      <c r="G60" s="96">
        <f t="shared" si="40"/>
        <v>69661.8</v>
      </c>
      <c r="H60" s="31" t="s">
        <v>40</v>
      </c>
      <c r="I60" s="102">
        <v>8</v>
      </c>
      <c r="J60" s="29">
        <v>3000</v>
      </c>
      <c r="K60" s="12">
        <f t="shared" si="1"/>
        <v>375</v>
      </c>
      <c r="L60" s="102">
        <v>8</v>
      </c>
      <c r="M60" s="13">
        <f t="shared" si="41"/>
        <v>2897.1428571428564</v>
      </c>
      <c r="N60" s="12">
        <f t="shared" si="3"/>
        <v>362.14285714285705</v>
      </c>
      <c r="O60" s="14">
        <f t="shared" si="4"/>
        <v>0</v>
      </c>
      <c r="P60" s="15">
        <f t="shared" si="5"/>
        <v>-12.857142857142946</v>
      </c>
      <c r="Q60" s="95">
        <f t="shared" si="6"/>
        <v>0.96571428571428553</v>
      </c>
      <c r="R60" s="616"/>
      <c r="S60" s="32">
        <v>0.38472222222222213</v>
      </c>
      <c r="T60" s="32">
        <v>0.41388888888888881</v>
      </c>
      <c r="U60" s="96">
        <f t="shared" si="44"/>
        <v>4.9999999999999822</v>
      </c>
      <c r="V60" s="103">
        <f t="shared" si="42"/>
        <v>42.000000000000014</v>
      </c>
      <c r="W60" s="96"/>
      <c r="X60" s="96"/>
      <c r="Y60" s="96"/>
      <c r="Z60" s="96"/>
      <c r="AA60" s="612"/>
      <c r="AB60" s="612"/>
      <c r="AC60" s="18"/>
      <c r="AD60" s="18"/>
      <c r="AE60" s="14">
        <f t="shared" si="43"/>
        <v>-102.85714285714357</v>
      </c>
      <c r="AF60" s="95">
        <f t="shared" si="9"/>
        <v>0.96571428571428553</v>
      </c>
      <c r="AG60" s="616"/>
    </row>
    <row r="61" spans="1:33">
      <c r="A61" s="618" t="s">
        <v>188</v>
      </c>
      <c r="B61" s="27" t="s">
        <v>189</v>
      </c>
      <c r="C61" s="658"/>
      <c r="D61" s="658"/>
      <c r="E61" s="97"/>
      <c r="F61" s="28"/>
      <c r="G61" s="12"/>
      <c r="H61" s="104"/>
      <c r="I61" s="21">
        <v>9.25</v>
      </c>
      <c r="J61" s="29">
        <v>3000</v>
      </c>
      <c r="K61" s="12">
        <f t="shared" si="1"/>
        <v>324.32432432432432</v>
      </c>
      <c r="L61" s="21">
        <v>9.25</v>
      </c>
      <c r="M61" s="13">
        <f>AVERAGE(M57:M60)</f>
        <v>2873.5710916442058</v>
      </c>
      <c r="N61" s="12">
        <f t="shared" si="3"/>
        <v>310.65633423180606</v>
      </c>
      <c r="O61" s="14">
        <f t="shared" si="4"/>
        <v>0</v>
      </c>
      <c r="P61" s="15">
        <f t="shared" si="5"/>
        <v>-13.667990092518266</v>
      </c>
      <c r="Q61" s="95">
        <f t="shared" si="6"/>
        <v>0.9578570305480687</v>
      </c>
      <c r="R61" s="616"/>
      <c r="S61" s="32"/>
      <c r="T61" s="32"/>
      <c r="U61" s="12"/>
      <c r="V61" s="103"/>
      <c r="W61" s="12"/>
      <c r="X61" s="12"/>
      <c r="Y61" s="22">
        <f>SUM(Y57:Y60)</f>
        <v>0</v>
      </c>
      <c r="Z61" s="22">
        <f>SUM(Z57:Z60)</f>
        <v>0</v>
      </c>
      <c r="AA61" s="611"/>
      <c r="AB61" s="611"/>
      <c r="AC61" s="22">
        <v>4</v>
      </c>
      <c r="AD61" s="22">
        <f>SUM(AD57:AD60)</f>
        <v>0</v>
      </c>
      <c r="AE61" s="14">
        <f t="shared" si="43"/>
        <v>-126.42890835579419</v>
      </c>
      <c r="AF61" s="95">
        <f t="shared" si="9"/>
        <v>0.95785703054806859</v>
      </c>
      <c r="AG61" s="616"/>
    </row>
    <row r="62" spans="1:33" ht="15.75" customHeight="1">
      <c r="A62" s="613" t="s">
        <v>73</v>
      </c>
      <c r="B62" s="104" t="s">
        <v>20</v>
      </c>
      <c r="C62" s="660" t="s">
        <v>39</v>
      </c>
      <c r="D62" s="660"/>
      <c r="E62" s="27">
        <v>19.02</v>
      </c>
      <c r="F62" s="104">
        <v>5600</v>
      </c>
      <c r="G62" s="96">
        <f t="shared" ref="G62:G68" si="45">E62*F62</f>
        <v>106512</v>
      </c>
      <c r="H62" s="31">
        <v>2</v>
      </c>
      <c r="I62" s="102">
        <v>14</v>
      </c>
      <c r="J62" s="29">
        <v>2400</v>
      </c>
      <c r="K62" s="12">
        <f t="shared" si="1"/>
        <v>171.42857142857142</v>
      </c>
      <c r="L62" s="102">
        <v>14</v>
      </c>
      <c r="M62" s="13">
        <f t="shared" ref="M62:M68" si="46">F62/V62*60</f>
        <v>2285.7142857142858</v>
      </c>
      <c r="N62" s="12">
        <f t="shared" si="3"/>
        <v>163.26530612244898</v>
      </c>
      <c r="O62" s="14">
        <f t="shared" si="4"/>
        <v>0</v>
      </c>
      <c r="P62" s="15">
        <f t="shared" si="5"/>
        <v>-8.1632653061224403</v>
      </c>
      <c r="Q62" s="95">
        <f t="shared" si="6"/>
        <v>0.95238095238095244</v>
      </c>
      <c r="R62" s="616">
        <f>Q69</f>
        <v>0.95668404173449118</v>
      </c>
      <c r="S62" s="32">
        <v>8.3333333333333329E-2</v>
      </c>
      <c r="T62" s="32">
        <v>0.18541666666666667</v>
      </c>
      <c r="U62" s="20"/>
      <c r="V62" s="103">
        <f t="shared" ref="V62:V68" si="47">(T62-S62)*24*60</f>
        <v>147</v>
      </c>
      <c r="W62" s="16">
        <f>T62</f>
        <v>0.18541666666666667</v>
      </c>
      <c r="X62" s="16">
        <f>S63</f>
        <v>0.20277777777777775</v>
      </c>
      <c r="Y62" s="16"/>
      <c r="Z62" s="16"/>
      <c r="AA62" s="612"/>
      <c r="AB62" s="612"/>
      <c r="AC62" s="18">
        <v>7</v>
      </c>
      <c r="AD62" s="18"/>
      <c r="AE62" s="14">
        <f t="shared" si="43"/>
        <v>-114.28571428571422</v>
      </c>
      <c r="AF62" s="95">
        <f t="shared" si="9"/>
        <v>0.95238095238095244</v>
      </c>
      <c r="AG62" s="616">
        <f>AF69</f>
        <v>0.95668404173449118</v>
      </c>
    </row>
    <row r="63" spans="1:33" ht="15.75" customHeight="1">
      <c r="A63" s="614" t="s">
        <v>73</v>
      </c>
      <c r="B63" s="104" t="s">
        <v>20</v>
      </c>
      <c r="C63" s="660" t="s">
        <v>24</v>
      </c>
      <c r="D63" s="660"/>
      <c r="E63" s="27">
        <v>20.36</v>
      </c>
      <c r="F63" s="104">
        <v>4566</v>
      </c>
      <c r="G63" s="96">
        <f t="shared" si="45"/>
        <v>92963.76</v>
      </c>
      <c r="H63" s="31" t="s">
        <v>40</v>
      </c>
      <c r="I63" s="102">
        <v>17</v>
      </c>
      <c r="J63" s="29">
        <v>2400</v>
      </c>
      <c r="K63" s="12">
        <f t="shared" si="1"/>
        <v>141.1764705882353</v>
      </c>
      <c r="L63" s="102">
        <v>17</v>
      </c>
      <c r="M63" s="13">
        <f t="shared" si="46"/>
        <v>2283</v>
      </c>
      <c r="N63" s="12">
        <f t="shared" si="3"/>
        <v>134.29411764705881</v>
      </c>
      <c r="O63" s="14">
        <f t="shared" si="4"/>
        <v>0</v>
      </c>
      <c r="P63" s="15">
        <f t="shared" si="5"/>
        <v>-6.8823529411764923</v>
      </c>
      <c r="Q63" s="95">
        <f t="shared" si="6"/>
        <v>0.95124999999999982</v>
      </c>
      <c r="R63" s="616"/>
      <c r="S63" s="32">
        <v>0.20277777777777775</v>
      </c>
      <c r="T63" s="32">
        <v>0.28611111111111109</v>
      </c>
      <c r="U63" s="96">
        <f t="shared" ref="U63:U68" si="48">(S63-T62)*24*60</f>
        <v>24.99999999999995</v>
      </c>
      <c r="V63" s="103">
        <f t="shared" si="47"/>
        <v>120</v>
      </c>
      <c r="W63" s="16"/>
      <c r="X63" s="16"/>
      <c r="Y63" s="16"/>
      <c r="Z63" s="16"/>
      <c r="AA63" s="612"/>
      <c r="AB63" s="612"/>
      <c r="AC63" s="18"/>
      <c r="AD63" s="18"/>
      <c r="AE63" s="14">
        <f t="shared" si="43"/>
        <v>-117</v>
      </c>
      <c r="AF63" s="95">
        <f t="shared" si="9"/>
        <v>0.95125000000000004</v>
      </c>
      <c r="AG63" s="616"/>
    </row>
    <row r="64" spans="1:33" ht="15.75" customHeight="1">
      <c r="A64" s="614" t="s">
        <v>82</v>
      </c>
      <c r="B64" s="104" t="s">
        <v>20</v>
      </c>
      <c r="C64" s="660" t="s">
        <v>37</v>
      </c>
      <c r="D64" s="660"/>
      <c r="E64" s="27">
        <v>20.21</v>
      </c>
      <c r="F64" s="104">
        <v>2968</v>
      </c>
      <c r="G64" s="96">
        <f t="shared" si="45"/>
        <v>59983.280000000006</v>
      </c>
      <c r="H64" s="31" t="s">
        <v>40</v>
      </c>
      <c r="I64" s="102">
        <v>15</v>
      </c>
      <c r="J64" s="29">
        <v>2400</v>
      </c>
      <c r="K64" s="12">
        <f t="shared" si="1"/>
        <v>160</v>
      </c>
      <c r="L64" s="102">
        <v>15</v>
      </c>
      <c r="M64" s="13">
        <f t="shared" si="46"/>
        <v>2312.7272727272716</v>
      </c>
      <c r="N64" s="12">
        <f t="shared" si="3"/>
        <v>154.1818181818181</v>
      </c>
      <c r="O64" s="14">
        <f t="shared" si="4"/>
        <v>0</v>
      </c>
      <c r="P64" s="15">
        <f t="shared" si="5"/>
        <v>-5.8181818181818983</v>
      </c>
      <c r="Q64" s="95">
        <f t="shared" si="6"/>
        <v>0.96363636363636318</v>
      </c>
      <c r="R64" s="616"/>
      <c r="S64" s="32">
        <v>0.29027777777777775</v>
      </c>
      <c r="T64" s="32">
        <v>0.34375</v>
      </c>
      <c r="U64" s="96">
        <f t="shared" si="48"/>
        <v>5.9999999999999787</v>
      </c>
      <c r="V64" s="103">
        <f t="shared" si="47"/>
        <v>77.000000000000043</v>
      </c>
      <c r="W64" s="16"/>
      <c r="X64" s="16"/>
      <c r="Y64" s="16"/>
      <c r="Z64" s="16"/>
      <c r="AA64" s="612"/>
      <c r="AB64" s="612"/>
      <c r="AC64" s="18"/>
      <c r="AD64" s="18"/>
      <c r="AE64" s="14">
        <f t="shared" si="43"/>
        <v>-87.272727272728389</v>
      </c>
      <c r="AF64" s="95">
        <f t="shared" si="9"/>
        <v>0.96363636363636318</v>
      </c>
      <c r="AG64" s="616"/>
    </row>
    <row r="65" spans="1:33" ht="15.75" customHeight="1">
      <c r="A65" s="614" t="s">
        <v>73</v>
      </c>
      <c r="B65" s="104" t="s">
        <v>20</v>
      </c>
      <c r="C65" s="660" t="s">
        <v>38</v>
      </c>
      <c r="D65" s="660"/>
      <c r="E65" s="27">
        <v>22.69</v>
      </c>
      <c r="F65" s="104">
        <v>2952</v>
      </c>
      <c r="G65" s="96">
        <f t="shared" si="45"/>
        <v>66980.88</v>
      </c>
      <c r="H65" s="31" t="s">
        <v>40</v>
      </c>
      <c r="I65" s="102">
        <v>15</v>
      </c>
      <c r="J65" s="29">
        <v>2400</v>
      </c>
      <c r="K65" s="12">
        <f t="shared" si="1"/>
        <v>160</v>
      </c>
      <c r="L65" s="102">
        <v>15</v>
      </c>
      <c r="M65" s="13">
        <f t="shared" si="46"/>
        <v>2300.2597402597389</v>
      </c>
      <c r="N65" s="12">
        <f t="shared" si="3"/>
        <v>153.35064935064926</v>
      </c>
      <c r="O65" s="14">
        <f t="shared" si="4"/>
        <v>0</v>
      </c>
      <c r="P65" s="15">
        <f t="shared" si="5"/>
        <v>-6.6493506493507368</v>
      </c>
      <c r="Q65" s="95">
        <f t="shared" si="6"/>
        <v>0.95844155844155787</v>
      </c>
      <c r="R65" s="616"/>
      <c r="S65" s="32">
        <v>0.34861111111111109</v>
      </c>
      <c r="T65" s="32">
        <v>0.40208333333333335</v>
      </c>
      <c r="U65" s="96">
        <f t="shared" si="48"/>
        <v>6.9999999999999751</v>
      </c>
      <c r="V65" s="103">
        <f t="shared" si="47"/>
        <v>77.000000000000043</v>
      </c>
      <c r="W65" s="16"/>
      <c r="X65" s="16"/>
      <c r="Y65" s="16"/>
      <c r="Z65" s="16"/>
      <c r="AA65" s="612"/>
      <c r="AB65" s="612"/>
      <c r="AC65" s="18"/>
      <c r="AD65" s="18"/>
      <c r="AE65" s="14">
        <f t="shared" si="43"/>
        <v>-99.740259740261081</v>
      </c>
      <c r="AF65" s="95">
        <f t="shared" si="9"/>
        <v>0.95844155844155787</v>
      </c>
      <c r="AG65" s="616"/>
    </row>
    <row r="66" spans="1:33" ht="15.75" customHeight="1">
      <c r="A66" s="614" t="s">
        <v>73</v>
      </c>
      <c r="B66" s="104" t="s">
        <v>20</v>
      </c>
      <c r="C66" s="660" t="s">
        <v>80</v>
      </c>
      <c r="D66" s="660"/>
      <c r="E66" s="27">
        <v>25.98</v>
      </c>
      <c r="F66" s="104">
        <v>4543</v>
      </c>
      <c r="G66" s="96">
        <f t="shared" si="45"/>
        <v>118027.14</v>
      </c>
      <c r="H66" s="31" t="s">
        <v>40</v>
      </c>
      <c r="I66" s="102">
        <v>17</v>
      </c>
      <c r="J66" s="29">
        <v>2400</v>
      </c>
      <c r="K66" s="12">
        <f t="shared" si="1"/>
        <v>141.1764705882353</v>
      </c>
      <c r="L66" s="102">
        <v>17</v>
      </c>
      <c r="M66" s="13">
        <f t="shared" si="46"/>
        <v>2290.588235294118</v>
      </c>
      <c r="N66" s="12">
        <f t="shared" si="3"/>
        <v>134.74048442906576</v>
      </c>
      <c r="O66" s="14">
        <f t="shared" si="4"/>
        <v>0</v>
      </c>
      <c r="P66" s="15">
        <f t="shared" si="5"/>
        <v>-6.4359861591695449</v>
      </c>
      <c r="Q66" s="95">
        <f t="shared" si="6"/>
        <v>0.9544117647058824</v>
      </c>
      <c r="R66" s="616"/>
      <c r="S66" s="32">
        <v>0.40555555555555556</v>
      </c>
      <c r="T66" s="32">
        <v>0.48819444444444443</v>
      </c>
      <c r="U66" s="96">
        <f t="shared" si="48"/>
        <v>4.9999999999999822</v>
      </c>
      <c r="V66" s="103">
        <f t="shared" si="47"/>
        <v>118.99999999999997</v>
      </c>
      <c r="W66" s="16">
        <f>T66</f>
        <v>0.48819444444444443</v>
      </c>
      <c r="X66" s="16">
        <f>S67</f>
        <v>0.53055555555555545</v>
      </c>
      <c r="Y66" s="16"/>
      <c r="Z66" s="16"/>
      <c r="AA66" s="612"/>
      <c r="AB66" s="612"/>
      <c r="AC66" s="18"/>
      <c r="AD66" s="18"/>
      <c r="AE66" s="14">
        <f t="shared" si="43"/>
        <v>-109.41176470588198</v>
      </c>
      <c r="AF66" s="95">
        <f t="shared" si="9"/>
        <v>0.95441176470588251</v>
      </c>
      <c r="AG66" s="616"/>
    </row>
    <row r="67" spans="1:33" ht="15.75" customHeight="1">
      <c r="A67" s="614" t="s">
        <v>73</v>
      </c>
      <c r="B67" s="104" t="s">
        <v>20</v>
      </c>
      <c r="C67" s="660" t="s">
        <v>25</v>
      </c>
      <c r="D67" s="660"/>
      <c r="E67" s="27">
        <v>24.43</v>
      </c>
      <c r="F67" s="104">
        <v>2734</v>
      </c>
      <c r="G67" s="96">
        <f t="shared" si="45"/>
        <v>66791.62</v>
      </c>
      <c r="H67" s="31" t="s">
        <v>40</v>
      </c>
      <c r="I67" s="102">
        <v>14</v>
      </c>
      <c r="J67" s="29">
        <v>2400</v>
      </c>
      <c r="K67" s="12">
        <f t="shared" si="1"/>
        <v>171.42857142857142</v>
      </c>
      <c r="L67" s="102">
        <v>14</v>
      </c>
      <c r="M67" s="13">
        <f t="shared" si="46"/>
        <v>2310.4225352112653</v>
      </c>
      <c r="N67" s="12">
        <f t="shared" si="3"/>
        <v>165.03018108651895</v>
      </c>
      <c r="O67" s="14">
        <f t="shared" si="4"/>
        <v>0</v>
      </c>
      <c r="P67" s="15">
        <f t="shared" si="5"/>
        <v>-6.3983903420524655</v>
      </c>
      <c r="Q67" s="95">
        <f t="shared" si="6"/>
        <v>0.96267605633802733</v>
      </c>
      <c r="R67" s="616"/>
      <c r="S67" s="32">
        <v>0.53055555555555545</v>
      </c>
      <c r="T67" s="32">
        <v>0.57986111111111105</v>
      </c>
      <c r="U67" s="96">
        <f t="shared" si="48"/>
        <v>60.999999999999865</v>
      </c>
      <c r="V67" s="103">
        <f t="shared" si="47"/>
        <v>71.000000000000071</v>
      </c>
      <c r="W67" s="16"/>
      <c r="X67" s="16"/>
      <c r="Y67" s="16"/>
      <c r="Z67" s="16"/>
      <c r="AA67" s="612"/>
      <c r="AB67" s="612"/>
      <c r="AC67" s="18"/>
      <c r="AD67" s="18"/>
      <c r="AE67" s="14">
        <f t="shared" si="43"/>
        <v>-89.577464788734687</v>
      </c>
      <c r="AF67" s="95">
        <f t="shared" si="9"/>
        <v>0.96267605633802722</v>
      </c>
      <c r="AG67" s="616"/>
    </row>
    <row r="68" spans="1:33" ht="15.75" customHeight="1">
      <c r="A68" s="614" t="s">
        <v>73</v>
      </c>
      <c r="B68" s="104" t="s">
        <v>20</v>
      </c>
      <c r="C68" s="605" t="s">
        <v>39</v>
      </c>
      <c r="D68" s="606"/>
      <c r="E68" s="27">
        <v>19.02</v>
      </c>
      <c r="F68" s="104">
        <v>4541</v>
      </c>
      <c r="G68" s="96">
        <f t="shared" si="45"/>
        <v>86369.819999999992</v>
      </c>
      <c r="H68" s="31" t="s">
        <v>40</v>
      </c>
      <c r="I68" s="102">
        <v>14</v>
      </c>
      <c r="J68" s="29">
        <v>2400</v>
      </c>
      <c r="K68" s="12">
        <f t="shared" si="1"/>
        <v>171.42857142857142</v>
      </c>
      <c r="L68" s="102">
        <v>14</v>
      </c>
      <c r="M68" s="13">
        <f t="shared" si="46"/>
        <v>2289.5798319327719</v>
      </c>
      <c r="N68" s="12">
        <f t="shared" si="3"/>
        <v>163.54141656662657</v>
      </c>
      <c r="O68" s="14">
        <f t="shared" si="4"/>
        <v>0</v>
      </c>
      <c r="P68" s="15">
        <f t="shared" si="5"/>
        <v>-7.8871548619448504</v>
      </c>
      <c r="Q68" s="95">
        <f t="shared" si="6"/>
        <v>0.95399159663865507</v>
      </c>
      <c r="R68" s="616"/>
      <c r="S68" s="32">
        <v>0.58333333333333326</v>
      </c>
      <c r="T68" s="32">
        <v>0.66597222222222219</v>
      </c>
      <c r="U68" s="96">
        <f t="shared" si="48"/>
        <v>4.9999999999999822</v>
      </c>
      <c r="V68" s="103">
        <f t="shared" si="47"/>
        <v>119.00000000000006</v>
      </c>
      <c r="W68" s="16"/>
      <c r="X68" s="16"/>
      <c r="Y68" s="19"/>
      <c r="Z68" s="19"/>
      <c r="AA68" s="607"/>
      <c r="AB68" s="608"/>
      <c r="AC68" s="18"/>
      <c r="AD68" s="18"/>
      <c r="AE68" s="14">
        <f t="shared" si="43"/>
        <v>-110.42016806722813</v>
      </c>
      <c r="AF68" s="95">
        <f t="shared" si="9"/>
        <v>0.95399159663865496</v>
      </c>
      <c r="AG68" s="616"/>
    </row>
    <row r="69" spans="1:33" ht="16.5" customHeight="1">
      <c r="A69" s="615" t="s">
        <v>73</v>
      </c>
      <c r="B69" s="27" t="s">
        <v>186</v>
      </c>
      <c r="C69" s="609"/>
      <c r="D69" s="610"/>
      <c r="E69" s="97"/>
      <c r="F69" s="28"/>
      <c r="G69" s="12"/>
      <c r="H69" s="104"/>
      <c r="I69" s="21">
        <v>15.142857142857142</v>
      </c>
      <c r="J69" s="29">
        <v>2400</v>
      </c>
      <c r="K69" s="12">
        <f t="shared" ref="K69" si="49">J69/I69</f>
        <v>158.49056603773585</v>
      </c>
      <c r="L69" s="21">
        <v>15.142857142857142</v>
      </c>
      <c r="M69" s="13">
        <f>AVERAGE(M62:M68)</f>
        <v>2296.0417001627789</v>
      </c>
      <c r="N69" s="12">
        <f t="shared" ref="N69" si="50">M69/L69</f>
        <v>151.62539529376841</v>
      </c>
      <c r="O69" s="14">
        <f t="shared" ref="O69" si="51">L69-I69</f>
        <v>0</v>
      </c>
      <c r="P69" s="15">
        <f t="shared" ref="P69" si="52">N69-K69</f>
        <v>-6.8651707439674396</v>
      </c>
      <c r="Q69" s="95">
        <f t="shared" ref="Q69" si="53">N69/K69</f>
        <v>0.95668404173449118</v>
      </c>
      <c r="R69" s="616"/>
      <c r="S69" s="32"/>
      <c r="T69" s="32"/>
      <c r="U69" s="12"/>
      <c r="V69" s="103"/>
      <c r="W69" s="12"/>
      <c r="X69" s="12"/>
      <c r="Y69" s="22">
        <f>SUM(Y62:Y68)</f>
        <v>0</v>
      </c>
      <c r="Z69" s="22">
        <f>SUM(Z62:Z68)</f>
        <v>0</v>
      </c>
      <c r="AA69" s="611"/>
      <c r="AB69" s="611"/>
      <c r="AC69" s="22">
        <v>7</v>
      </c>
      <c r="AD69" s="22">
        <f>SUM(AD62:AD68)</f>
        <v>0</v>
      </c>
      <c r="AE69" s="14">
        <f t="shared" si="43"/>
        <v>-103.95829983722115</v>
      </c>
      <c r="AF69" s="95">
        <f t="shared" ref="AF69" si="54">M69/J69</f>
        <v>0.95668404173449118</v>
      </c>
      <c r="AG69" s="616"/>
    </row>
    <row r="70" spans="1:33">
      <c r="D70" s="23"/>
      <c r="E70" s="23"/>
    </row>
  </sheetData>
  <mergeCells count="18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AG13:AG20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A36:AB36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45:A48"/>
    <mergeCell ref="C45:D45"/>
    <mergeCell ref="R45:R48"/>
    <mergeCell ref="AA45:AB45"/>
    <mergeCell ref="C40:D40"/>
    <mergeCell ref="AA40:AB40"/>
    <mergeCell ref="C41:D41"/>
    <mergeCell ref="AA41:AB41"/>
    <mergeCell ref="C42:D42"/>
    <mergeCell ref="AA42:AB42"/>
    <mergeCell ref="A37:A44"/>
    <mergeCell ref="C37:D37"/>
    <mergeCell ref="R37:R44"/>
    <mergeCell ref="AA37:AB37"/>
    <mergeCell ref="C38:D38"/>
    <mergeCell ref="AA38:AB38"/>
    <mergeCell ref="C39:D39"/>
    <mergeCell ref="AA39:AB39"/>
    <mergeCell ref="AG45:AG48"/>
    <mergeCell ref="C46:D46"/>
    <mergeCell ref="AA46:AB46"/>
    <mergeCell ref="C47:D47"/>
    <mergeCell ref="AA47:AB47"/>
    <mergeCell ref="C48:D48"/>
    <mergeCell ref="AA48:AB48"/>
    <mergeCell ref="C43:D43"/>
    <mergeCell ref="AA43:AB43"/>
    <mergeCell ref="C44:D44"/>
    <mergeCell ref="AA44:AB44"/>
    <mergeCell ref="AG37:AG44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57:AG61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A62:A69"/>
    <mergeCell ref="C62:D62"/>
    <mergeCell ref="R62:R69"/>
    <mergeCell ref="AA62:AB62"/>
    <mergeCell ref="AA67:AB67"/>
    <mergeCell ref="C68:D68"/>
    <mergeCell ref="AA68:AB68"/>
    <mergeCell ref="A57:A61"/>
    <mergeCell ref="C57:D57"/>
    <mergeCell ref="R57:R61"/>
    <mergeCell ref="AA57:AB57"/>
    <mergeCell ref="C69:D69"/>
    <mergeCell ref="AA69:AB69"/>
    <mergeCell ref="AG62:AG69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</mergeCells>
  <phoneticPr fontId="3" type="noConversion"/>
  <conditionalFormatting sqref="O60:O67 O56:O57 O69 O5:O8 O12:O14 O20:O54">
    <cfRule type="cellIs" dxfId="128" priority="51" operator="greaterThan">
      <formula>0</formula>
    </cfRule>
  </conditionalFormatting>
  <conditionalFormatting sqref="P5:P6 P60 AE60 P62:P67 P28:P35 P57 P8 P12:P14 P21:P26 P49:P54 P37:P47 AE5:AE57 AE62:AE69">
    <cfRule type="cellIs" dxfId="127" priority="55" operator="lessThan">
      <formula>0</formula>
    </cfRule>
  </conditionalFormatting>
  <conditionalFormatting sqref="AF60 Q60:Q67 Q56:Q57 Q69 Q5:Q8 Q12:Q14 Q20:Q54 AF5:AF57 AF62:AF69">
    <cfRule type="cellIs" dxfId="126" priority="52" operator="greaterThan">
      <formula>1</formula>
    </cfRule>
    <cfRule type="cellIs" dxfId="125" priority="53" operator="lessThan">
      <formula>0.8</formula>
    </cfRule>
  </conditionalFormatting>
  <conditionalFormatting sqref="AG13:AG14 R13:R14 AG60 R60:R67 AG56:AG57 R56:R57 R69 AG5:AG8 R5:R8 AG20:AG54 R20:R54">
    <cfRule type="cellIs" dxfId="124" priority="57" operator="lessThan">
      <formula>0.8</formula>
    </cfRule>
  </conditionalFormatting>
  <conditionalFormatting sqref="AG45">
    <cfRule type="cellIs" dxfId="123" priority="59" operator="lessThan">
      <formula>0.8</formula>
    </cfRule>
  </conditionalFormatting>
  <conditionalFormatting sqref="AG21:AG26">
    <cfRule type="cellIs" dxfId="122" priority="56" operator="lessThan">
      <formula>0.8</formula>
    </cfRule>
  </conditionalFormatting>
  <conditionalFormatting sqref="AG28">
    <cfRule type="cellIs" dxfId="121" priority="58" operator="lessThan">
      <formula>0.8</formula>
    </cfRule>
  </conditionalFormatting>
  <conditionalFormatting sqref="AG37:AG43">
    <cfRule type="cellIs" dxfId="120" priority="54" operator="lessThan">
      <formula>0.8</formula>
    </cfRule>
  </conditionalFormatting>
  <conditionalFormatting sqref="AE61">
    <cfRule type="cellIs" dxfId="119" priority="50" operator="lessThan">
      <formula>0</formula>
    </cfRule>
  </conditionalFormatting>
  <conditionalFormatting sqref="AF61">
    <cfRule type="cellIs" dxfId="118" priority="48" operator="greaterThan">
      <formula>1</formula>
    </cfRule>
    <cfRule type="cellIs" dxfId="117" priority="49" operator="lessThan">
      <formula>0.8</formula>
    </cfRule>
  </conditionalFormatting>
  <conditionalFormatting sqref="O15:O16">
    <cfRule type="cellIs" dxfId="116" priority="43" operator="greaterThan">
      <formula>0</formula>
    </cfRule>
  </conditionalFormatting>
  <conditionalFormatting sqref="P15:P16">
    <cfRule type="cellIs" dxfId="115" priority="46" operator="lessThan">
      <formula>0</formula>
    </cfRule>
  </conditionalFormatting>
  <conditionalFormatting sqref="Q15:Q16">
    <cfRule type="cellIs" dxfId="114" priority="44" operator="greaterThan">
      <formula>1</formula>
    </cfRule>
    <cfRule type="cellIs" dxfId="113" priority="45" operator="lessThan">
      <formula>0.8</formula>
    </cfRule>
  </conditionalFormatting>
  <conditionalFormatting sqref="R15:R16 AG15:AG16">
    <cfRule type="cellIs" dxfId="112" priority="47" operator="lessThan">
      <formula>0.8</formula>
    </cfRule>
  </conditionalFormatting>
  <conditionalFormatting sqref="O9:O11">
    <cfRule type="cellIs" dxfId="111" priority="39" operator="greaterThan">
      <formula>0</formula>
    </cfRule>
  </conditionalFormatting>
  <conditionalFormatting sqref="P9:P11">
    <cfRule type="cellIs" dxfId="110" priority="42" operator="lessThan">
      <formula>0</formula>
    </cfRule>
  </conditionalFormatting>
  <conditionalFormatting sqref="Q9:Q11">
    <cfRule type="cellIs" dxfId="109" priority="40" operator="greaterThan">
      <formula>1</formula>
    </cfRule>
    <cfRule type="cellIs" dxfId="108" priority="41" operator="lessThan">
      <formula>0.8</formula>
    </cfRule>
  </conditionalFormatting>
  <conditionalFormatting sqref="O55">
    <cfRule type="cellIs" dxfId="107" priority="34" operator="greaterThan">
      <formula>0</formula>
    </cfRule>
  </conditionalFormatting>
  <conditionalFormatting sqref="P55">
    <cfRule type="cellIs" dxfId="106" priority="37" operator="lessThan">
      <formula>0</formula>
    </cfRule>
  </conditionalFormatting>
  <conditionalFormatting sqref="Q55">
    <cfRule type="cellIs" dxfId="105" priority="35" operator="greaterThan">
      <formula>1</formula>
    </cfRule>
    <cfRule type="cellIs" dxfId="104" priority="36" operator="lessThan">
      <formula>0.8</formula>
    </cfRule>
  </conditionalFormatting>
  <conditionalFormatting sqref="R55 AG55">
    <cfRule type="cellIs" dxfId="103" priority="38" operator="lessThan">
      <formula>0.8</formula>
    </cfRule>
  </conditionalFormatting>
  <conditionalFormatting sqref="O59">
    <cfRule type="cellIs" dxfId="102" priority="29" operator="greaterThan">
      <formula>0</formula>
    </cfRule>
  </conditionalFormatting>
  <conditionalFormatting sqref="P59 AE59">
    <cfRule type="cellIs" dxfId="101" priority="32" operator="lessThan">
      <formula>0</formula>
    </cfRule>
  </conditionalFormatting>
  <conditionalFormatting sqref="Q59 AF59">
    <cfRule type="cellIs" dxfId="100" priority="30" operator="greaterThan">
      <formula>1</formula>
    </cfRule>
    <cfRule type="cellIs" dxfId="99" priority="31" operator="lessThan">
      <formula>0.8</formula>
    </cfRule>
  </conditionalFormatting>
  <conditionalFormatting sqref="R59 AG59">
    <cfRule type="cellIs" dxfId="98" priority="33" operator="lessThan">
      <formula>0.8</formula>
    </cfRule>
  </conditionalFormatting>
  <conditionalFormatting sqref="O68">
    <cfRule type="cellIs" dxfId="97" priority="24" operator="greaterThan">
      <formula>0</formula>
    </cfRule>
  </conditionalFormatting>
  <conditionalFormatting sqref="P68">
    <cfRule type="cellIs" dxfId="96" priority="27" operator="lessThan">
      <formula>0</formula>
    </cfRule>
  </conditionalFormatting>
  <conditionalFormatting sqref="Q68">
    <cfRule type="cellIs" dxfId="95" priority="25" operator="greaterThan">
      <formula>1</formula>
    </cfRule>
    <cfRule type="cellIs" dxfId="94" priority="26" operator="lessThan">
      <formula>0.8</formula>
    </cfRule>
  </conditionalFormatting>
  <conditionalFormatting sqref="R68">
    <cfRule type="cellIs" dxfId="93" priority="28" operator="lessThan">
      <formula>0.8</formula>
    </cfRule>
  </conditionalFormatting>
  <conditionalFormatting sqref="O17:O18">
    <cfRule type="cellIs" dxfId="92" priority="19" operator="greaterThan">
      <formula>0</formula>
    </cfRule>
  </conditionalFormatting>
  <conditionalFormatting sqref="P17:P18">
    <cfRule type="cellIs" dxfId="91" priority="22" operator="lessThan">
      <formula>0</formula>
    </cfRule>
  </conditionalFormatting>
  <conditionalFormatting sqref="Q17:Q18">
    <cfRule type="cellIs" dxfId="90" priority="20" operator="greaterThan">
      <formula>1</formula>
    </cfRule>
    <cfRule type="cellIs" dxfId="89" priority="21" operator="lessThan">
      <formula>0.8</formula>
    </cfRule>
  </conditionalFormatting>
  <conditionalFormatting sqref="R17:R18 AG17:AG18">
    <cfRule type="cellIs" dxfId="88" priority="23" operator="lessThan">
      <formula>0.8</formula>
    </cfRule>
  </conditionalFormatting>
  <conditionalFormatting sqref="O58">
    <cfRule type="cellIs" dxfId="87" priority="14" operator="greaterThan">
      <formula>0</formula>
    </cfRule>
  </conditionalFormatting>
  <conditionalFormatting sqref="P58 AE58">
    <cfRule type="cellIs" dxfId="86" priority="17" operator="lessThan">
      <formula>0</formula>
    </cfRule>
  </conditionalFormatting>
  <conditionalFormatting sqref="Q58 AF58">
    <cfRule type="cellIs" dxfId="85" priority="15" operator="greaterThan">
      <formula>1</formula>
    </cfRule>
    <cfRule type="cellIs" dxfId="84" priority="16" operator="lessThan">
      <formula>0.8</formula>
    </cfRule>
  </conditionalFormatting>
  <conditionalFormatting sqref="R58 AG58">
    <cfRule type="cellIs" dxfId="83" priority="18" operator="lessThan">
      <formula>0.8</formula>
    </cfRule>
  </conditionalFormatting>
  <conditionalFormatting sqref="O19">
    <cfRule type="cellIs" dxfId="82" priority="9" operator="greaterThan">
      <formula>0</formula>
    </cfRule>
  </conditionalFormatting>
  <conditionalFormatting sqref="P19">
    <cfRule type="cellIs" dxfId="81" priority="12" operator="lessThan">
      <formula>0</formula>
    </cfRule>
  </conditionalFormatting>
  <conditionalFormatting sqref="Q19">
    <cfRule type="cellIs" dxfId="80" priority="10" operator="greaterThan">
      <formula>1</formula>
    </cfRule>
    <cfRule type="cellIs" dxfId="79" priority="11" operator="lessThan">
      <formula>0.8</formula>
    </cfRule>
  </conditionalFormatting>
  <conditionalFormatting sqref="AG19 R19">
    <cfRule type="cellIs" dxfId="78" priority="13" operator="lessThan">
      <formula>0.8</formula>
    </cfRule>
  </conditionalFormatting>
  <conditionalFormatting sqref="P7">
    <cfRule type="cellIs" dxfId="77" priority="8" operator="lessThan">
      <formula>0</formula>
    </cfRule>
  </conditionalFormatting>
  <conditionalFormatting sqref="P20">
    <cfRule type="cellIs" dxfId="76" priority="7" operator="lessThan">
      <formula>0</formula>
    </cfRule>
  </conditionalFormatting>
  <conditionalFormatting sqref="P27">
    <cfRule type="cellIs" dxfId="75" priority="6" operator="lessThan">
      <formula>0</formula>
    </cfRule>
  </conditionalFormatting>
  <conditionalFormatting sqref="P36">
    <cfRule type="cellIs" dxfId="74" priority="5" operator="lessThan">
      <formula>0</formula>
    </cfRule>
  </conditionalFormatting>
  <conditionalFormatting sqref="P48">
    <cfRule type="cellIs" dxfId="73" priority="4" operator="lessThan">
      <formula>0</formula>
    </cfRule>
  </conditionalFormatting>
  <conditionalFormatting sqref="P56">
    <cfRule type="cellIs" dxfId="72" priority="3" operator="lessThan">
      <formula>0</formula>
    </cfRule>
  </conditionalFormatting>
  <conditionalFormatting sqref="P61">
    <cfRule type="cellIs" dxfId="71" priority="2" operator="lessThan">
      <formula>0</formula>
    </cfRule>
  </conditionalFormatting>
  <conditionalFormatting sqref="P69">
    <cfRule type="cellIs" dxfId="70" priority="1" operator="lessThan">
      <formula>0</formula>
    </cfRule>
  </conditionalFormatting>
  <dataValidations count="1">
    <dataValidation type="list" allowBlank="1" showInputMessage="1" showErrorMessage="1" sqref="AB7 AA5:AB6 AA7:AA60 AB9:AB57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A85D1-9C97-47C3-934F-5A0AF402038C}"/>
</file>

<file path=customXml/itemProps2.xml><?xml version="1.0" encoding="utf-8"?>
<ds:datastoreItem xmlns:ds="http://schemas.openxmlformats.org/officeDocument/2006/customXml" ds:itemID="{1887317F-5469-4D45-87A8-756239C5A534}"/>
</file>

<file path=customXml/itemProps3.xml><?xml version="1.0" encoding="utf-8"?>
<ds:datastoreItem xmlns:ds="http://schemas.openxmlformats.org/officeDocument/2006/customXml" ds:itemID="{A272CC51-0CE9-4085-BE15-C13EAE794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0731</vt:lpstr>
      <vt:lpstr>0731 4度C</vt:lpstr>
      <vt:lpstr>0730</vt:lpstr>
      <vt:lpstr>0730 4度C</vt:lpstr>
      <vt:lpstr>0729</vt:lpstr>
      <vt:lpstr>0729 4度C</vt:lpstr>
      <vt:lpstr>0728</vt:lpstr>
      <vt:lpstr>0728 4度C</vt:lpstr>
      <vt:lpstr>0727</vt:lpstr>
      <vt:lpstr>0727 4度C</vt:lpstr>
      <vt:lpstr>0726</vt:lpstr>
      <vt:lpstr>0726 4度C</vt:lpstr>
      <vt:lpstr>0725</vt:lpstr>
      <vt:lpstr>0725 4度C</vt:lpstr>
      <vt:lpstr>0724</vt:lpstr>
      <vt:lpstr>0724 4度C</vt:lpstr>
      <vt:lpstr>0723</vt:lpstr>
      <vt:lpstr>0723 4度C</vt:lpstr>
      <vt:lpstr>0722</vt:lpstr>
      <vt:lpstr>0722 4度C</vt:lpstr>
      <vt:lpstr>0721</vt:lpstr>
      <vt:lpstr>0721 4度C</vt:lpstr>
      <vt:lpstr>0720</vt:lpstr>
      <vt:lpstr>0720 4度C</vt:lpstr>
      <vt:lpstr>0719</vt:lpstr>
      <vt:lpstr>0719 4度C</vt:lpstr>
      <vt:lpstr>0718</vt:lpstr>
      <vt:lpstr>0718 4度C</vt:lpstr>
      <vt:lpstr>0717</vt:lpstr>
      <vt:lpstr>0717 4度C</vt:lpstr>
      <vt:lpstr>0716</vt:lpstr>
      <vt:lpstr>0716 4度C</vt:lpstr>
      <vt:lpstr>0715</vt:lpstr>
      <vt:lpstr>0715 4度C</vt:lpstr>
      <vt:lpstr>0714</vt:lpstr>
      <vt:lpstr>0714 4度C</vt:lpstr>
      <vt:lpstr>0713</vt:lpstr>
      <vt:lpstr>0713 4度C</vt:lpstr>
      <vt:lpstr>0712</vt:lpstr>
      <vt:lpstr>0712 4度C</vt:lpstr>
      <vt:lpstr>0711</vt:lpstr>
      <vt:lpstr>0711 4度C</vt:lpstr>
      <vt:lpstr>0710</vt:lpstr>
      <vt:lpstr>0710 4度C</vt:lpstr>
      <vt:lpstr>0709</vt:lpstr>
      <vt:lpstr>0709 4度C</vt:lpstr>
      <vt:lpstr>0708</vt:lpstr>
      <vt:lpstr>0708 4度C</vt:lpstr>
      <vt:lpstr>0707</vt:lpstr>
      <vt:lpstr>0707 4度C</vt:lpstr>
      <vt:lpstr>0706</vt:lpstr>
      <vt:lpstr>0706 4度C</vt:lpstr>
      <vt:lpstr>0705</vt:lpstr>
      <vt:lpstr>0705 4度C</vt:lpstr>
      <vt:lpstr>0704</vt:lpstr>
      <vt:lpstr>0704 4度C</vt:lpstr>
      <vt:lpstr>0703</vt:lpstr>
      <vt:lpstr>0703 4度C</vt:lpstr>
      <vt:lpstr>0702</vt:lpstr>
      <vt:lpstr>0702 4度C</vt:lpstr>
      <vt:lpstr>0701</vt:lpstr>
      <vt:lpstr>0701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新豐生管03</cp:lastModifiedBy>
  <dcterms:created xsi:type="dcterms:W3CDTF">2026-05-02T01:50:16Z</dcterms:created>
  <dcterms:modified xsi:type="dcterms:W3CDTF">2026-08-01T01:22:43Z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